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azné ukazatele\Záv. ukazatele 2025\"/>
    </mc:Choice>
  </mc:AlternateContent>
  <xr:revisionPtr revIDLastSave="0" documentId="13_ncr:1_{95BCD387-B398-45AA-95EF-9262184E174B}" xr6:coauthVersionLast="47" xr6:coauthVersionMax="47" xr10:uidLastSave="{00000000-0000-0000-0000-000000000000}"/>
  <workbookProtection workbookAlgorithmName="SHA-512" workbookHashValue="svXAmSSaawpdte2JGJvTvJ/GKT0kIC/A0dEvvGTxzVaqy/3LB/m9UbZBHQkrZtzwI6zzOHeznia19mL/CS+rCw==" workbookSaltValue="8A8BJx9RwKtxdCPJTujRzQ==" workbookSpinCount="100000" lockStructure="1"/>
  <bookViews>
    <workbookView xWindow="-109" yWindow="-109" windowWidth="26301" windowHeight="14169" xr2:uid="{5F939F0E-B7C8-4EE0-A5CF-22394BFDF32C}"/>
  </bookViews>
  <sheets>
    <sheet name="ZU 2025 po 4.ZR a RORM 1-185" sheetId="1" r:id="rId1"/>
  </sheets>
  <definedNames>
    <definedName name="__DdeLink__9289_5144441" localSheetId="0">'ZU 2025 po 4.ZR a RORM 1-185'!#REF!</definedName>
    <definedName name="_xlnm.Print_Titles" localSheetId="0">'ZU 2025 po 4.ZR a RORM 1-185'!$1:$2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64" i="1" l="1"/>
  <c r="P371" i="1"/>
  <c r="P367" i="1"/>
  <c r="Q193" i="1"/>
  <c r="P193" i="1"/>
  <c r="P192" i="1"/>
  <c r="Q192" i="1" s="1"/>
  <c r="P8" i="1"/>
  <c r="P343" i="1"/>
  <c r="P342" i="1"/>
  <c r="P47" i="1"/>
  <c r="P49" i="1"/>
  <c r="P462" i="1"/>
  <c r="P455" i="1"/>
  <c r="P448" i="1"/>
  <c r="P446" i="1"/>
  <c r="P444" i="1" s="1"/>
  <c r="P432" i="1"/>
  <c r="P430" i="1" s="1"/>
  <c r="P428" i="1"/>
  <c r="P426" i="1" s="1"/>
  <c r="P397" i="1"/>
  <c r="P396" i="1"/>
  <c r="P394" i="1" s="1"/>
  <c r="P386" i="1"/>
  <c r="P383" i="1" s="1"/>
  <c r="P387" i="1"/>
  <c r="P389" i="1"/>
  <c r="P364" i="1"/>
  <c r="P359" i="1"/>
  <c r="P336" i="1" s="1"/>
  <c r="P335" i="1"/>
  <c r="P333" i="1" s="1"/>
  <c r="P306" i="1"/>
  <c r="Q306" i="1" s="1"/>
  <c r="P332" i="1"/>
  <c r="P257" i="1"/>
  <c r="P255" i="1" s="1"/>
  <c r="P61" i="1"/>
  <c r="P60" i="1"/>
  <c r="P6" i="1"/>
  <c r="P67" i="1"/>
  <c r="P62" i="1"/>
  <c r="P50" i="1"/>
  <c r="P45" i="1"/>
  <c r="P24" i="1"/>
  <c r="P20" i="1"/>
  <c r="P9" i="1"/>
  <c r="P21" i="1" s="1"/>
  <c r="P360" i="1"/>
  <c r="P276" i="1"/>
  <c r="P267" i="1"/>
  <c r="P368" i="1"/>
  <c r="P402" i="1"/>
  <c r="P378" i="1"/>
  <c r="P375" i="1"/>
  <c r="P398" i="1"/>
  <c r="P438" i="1"/>
  <c r="P459" i="1"/>
  <c r="P465" i="1"/>
  <c r="P480" i="1"/>
  <c r="P485" i="1"/>
  <c r="N485" i="1"/>
  <c r="O485" i="1"/>
  <c r="O24" i="1"/>
  <c r="N24" i="1"/>
  <c r="C24" i="1"/>
  <c r="N20" i="1"/>
  <c r="C20" i="1"/>
  <c r="C9" i="1"/>
  <c r="C21" i="1" s="1"/>
  <c r="Q484" i="1"/>
  <c r="N169" i="1"/>
  <c r="Q169" i="1" s="1"/>
  <c r="N133" i="1"/>
  <c r="Q133" i="1" s="1"/>
  <c r="N185" i="1"/>
  <c r="Q185" i="1" s="1"/>
  <c r="N184" i="1"/>
  <c r="Q184" i="1" s="1"/>
  <c r="N107" i="1"/>
  <c r="Q107" i="1" s="1"/>
  <c r="N106" i="1"/>
  <c r="Q106" i="1" s="1"/>
  <c r="N115" i="1"/>
  <c r="Q115" i="1" s="1"/>
  <c r="N113" i="1"/>
  <c r="Q113" i="1" s="1"/>
  <c r="N102" i="1"/>
  <c r="Q102" i="1" s="1"/>
  <c r="N100" i="1"/>
  <c r="Q100" i="1" s="1"/>
  <c r="N84" i="1"/>
  <c r="Q84" i="1" s="1"/>
  <c r="N82" i="1"/>
  <c r="Q82" i="1" s="1"/>
  <c r="N138" i="1"/>
  <c r="Q138" i="1" s="1"/>
  <c r="N137" i="1"/>
  <c r="Q137" i="1" s="1"/>
  <c r="N125" i="1"/>
  <c r="Q125" i="1" s="1"/>
  <c r="N123" i="1"/>
  <c r="Q123" i="1" s="1"/>
  <c r="N467" i="1"/>
  <c r="N464" i="1"/>
  <c r="N404" i="1"/>
  <c r="N396" i="1"/>
  <c r="N389" i="1"/>
  <c r="N386" i="1"/>
  <c r="N371" i="1"/>
  <c r="N367" i="1"/>
  <c r="N363" i="1"/>
  <c r="N317" i="1"/>
  <c r="Q317" i="1" s="1"/>
  <c r="N332" i="1"/>
  <c r="N257" i="1"/>
  <c r="N61" i="1"/>
  <c r="N60" i="1"/>
  <c r="N8" i="1"/>
  <c r="N6" i="1"/>
  <c r="N9" i="1" s="1"/>
  <c r="N21" i="1" s="1"/>
  <c r="O130" i="1"/>
  <c r="O6" i="1"/>
  <c r="N397" i="1"/>
  <c r="N254" i="1"/>
  <c r="N175" i="1"/>
  <c r="N116" i="1"/>
  <c r="Q116" i="1" s="1"/>
  <c r="N47" i="1"/>
  <c r="O409" i="1"/>
  <c r="O478" i="1"/>
  <c r="O477" i="1"/>
  <c r="O480" i="1" s="1"/>
  <c r="O467" i="1"/>
  <c r="O465" i="1" s="1"/>
  <c r="O367" i="1"/>
  <c r="O464" i="1"/>
  <c r="O362" i="1"/>
  <c r="O363" i="1"/>
  <c r="O453" i="1"/>
  <c r="O352" i="1"/>
  <c r="O340" i="1"/>
  <c r="O458" i="1"/>
  <c r="O359" i="1"/>
  <c r="O5" i="1"/>
  <c r="O448" i="1"/>
  <c r="O335" i="1"/>
  <c r="O17" i="1"/>
  <c r="O20" i="1" s="1"/>
  <c r="O447" i="1"/>
  <c r="O446" i="1"/>
  <c r="O449" i="1"/>
  <c r="O441" i="1"/>
  <c r="Q441" i="1" s="1"/>
  <c r="O285" i="1"/>
  <c r="O332" i="1"/>
  <c r="O436" i="1"/>
  <c r="O434" i="1"/>
  <c r="O275" i="1"/>
  <c r="O8" i="1"/>
  <c r="O271" i="1"/>
  <c r="O270" i="1"/>
  <c r="O433" i="1"/>
  <c r="O432" i="1"/>
  <c r="O428" i="1"/>
  <c r="O257" i="1"/>
  <c r="O266" i="1"/>
  <c r="O410" i="1"/>
  <c r="Q410" i="1" s="1"/>
  <c r="O418" i="1"/>
  <c r="Q418" i="1" s="1"/>
  <c r="Q455" i="1" l="1"/>
  <c r="P451" i="1"/>
  <c r="P469" i="1"/>
  <c r="P58" i="1"/>
  <c r="O156" i="1"/>
  <c r="Q156" i="1" s="1"/>
  <c r="O254" i="1"/>
  <c r="O182" i="1"/>
  <c r="O110" i="1"/>
  <c r="O423" i="1"/>
  <c r="Q423" i="1" s="1"/>
  <c r="O412" i="1"/>
  <c r="O111" i="1"/>
  <c r="Q111" i="1" s="1"/>
  <c r="O165" i="1"/>
  <c r="O121" i="1"/>
  <c r="O200" i="1"/>
  <c r="O199" i="1"/>
  <c r="O396" i="1"/>
  <c r="O394" i="1" s="1"/>
  <c r="O60" i="1"/>
  <c r="O61" i="1"/>
  <c r="O57" i="1"/>
  <c r="O7" i="1"/>
  <c r="O9" i="1" s="1"/>
  <c r="O21" i="1" s="1"/>
  <c r="O392" i="1"/>
  <c r="O391" i="1"/>
  <c r="O56" i="1"/>
  <c r="O49" i="1"/>
  <c r="O45" i="1" s="1"/>
  <c r="N112" i="1"/>
  <c r="N142" i="1"/>
  <c r="N140" i="1"/>
  <c r="N89" i="1"/>
  <c r="N87" i="1"/>
  <c r="N114" i="1"/>
  <c r="N83" i="1"/>
  <c r="N81" i="1"/>
  <c r="N101" i="1"/>
  <c r="N99" i="1"/>
  <c r="N77" i="1"/>
  <c r="N75" i="1"/>
  <c r="N124" i="1"/>
  <c r="N122" i="1"/>
  <c r="N152" i="1"/>
  <c r="N150" i="1"/>
  <c r="N153" i="1"/>
  <c r="Q153" i="1" s="1"/>
  <c r="N151" i="1"/>
  <c r="Q151" i="1" s="1"/>
  <c r="N462" i="1"/>
  <c r="N454" i="1"/>
  <c r="N451" i="1" s="1"/>
  <c r="N394" i="1"/>
  <c r="N370" i="1"/>
  <c r="N364" i="1"/>
  <c r="N359" i="1"/>
  <c r="N336" i="1" s="1"/>
  <c r="N49" i="1"/>
  <c r="O368" i="1"/>
  <c r="O364" i="1"/>
  <c r="O360" i="1"/>
  <c r="N360" i="1"/>
  <c r="O336" i="1"/>
  <c r="O333" i="1"/>
  <c r="N333" i="1"/>
  <c r="O276" i="1"/>
  <c r="N276" i="1"/>
  <c r="O267" i="1"/>
  <c r="N267" i="1"/>
  <c r="O255" i="1"/>
  <c r="N255" i="1"/>
  <c r="O62" i="1"/>
  <c r="N62" i="1"/>
  <c r="N50" i="1"/>
  <c r="N465" i="1"/>
  <c r="O462" i="1"/>
  <c r="O459" i="1"/>
  <c r="N459" i="1"/>
  <c r="O451" i="1"/>
  <c r="O444" i="1"/>
  <c r="N444" i="1"/>
  <c r="O438" i="1"/>
  <c r="N438" i="1"/>
  <c r="O430" i="1"/>
  <c r="N430" i="1"/>
  <c r="O426" i="1"/>
  <c r="N426" i="1"/>
  <c r="N402" i="1"/>
  <c r="C402" i="1"/>
  <c r="O398" i="1"/>
  <c r="N398" i="1"/>
  <c r="C394" i="1"/>
  <c r="N383" i="1"/>
  <c r="C383" i="1"/>
  <c r="O378" i="1"/>
  <c r="N378" i="1"/>
  <c r="C378" i="1"/>
  <c r="O375" i="1"/>
  <c r="N375" i="1"/>
  <c r="C375" i="1"/>
  <c r="M485" i="1"/>
  <c r="Q485" i="1" s="1"/>
  <c r="C485" i="1"/>
  <c r="N480" i="1"/>
  <c r="L432" i="1"/>
  <c r="L430" i="1" s="1"/>
  <c r="L404" i="1"/>
  <c r="L402" i="1" s="1"/>
  <c r="L396" i="1"/>
  <c r="L394" i="1" s="1"/>
  <c r="L380" i="1"/>
  <c r="L378" i="1" s="1"/>
  <c r="L269" i="1"/>
  <c r="L275" i="1"/>
  <c r="L257" i="1"/>
  <c r="L118" i="1"/>
  <c r="L175" i="1"/>
  <c r="L143" i="1"/>
  <c r="M143" i="1" s="1"/>
  <c r="Q143" i="1" s="1"/>
  <c r="L141" i="1"/>
  <c r="M141" i="1" s="1"/>
  <c r="Q141" i="1" s="1"/>
  <c r="L90" i="1"/>
  <c r="M90" i="1" s="1"/>
  <c r="Q90" i="1" s="1"/>
  <c r="L88" i="1"/>
  <c r="M88" i="1" s="1"/>
  <c r="Q88" i="1" s="1"/>
  <c r="L244" i="1"/>
  <c r="M244" i="1" s="1"/>
  <c r="Q244" i="1" s="1"/>
  <c r="L254" i="1"/>
  <c r="L69" i="1"/>
  <c r="L61" i="1"/>
  <c r="L60" i="1"/>
  <c r="L47" i="1"/>
  <c r="L45" i="1" s="1"/>
  <c r="L35" i="1"/>
  <c r="L44" i="1"/>
  <c r="L8" i="1"/>
  <c r="L6" i="1"/>
  <c r="L78" i="1"/>
  <c r="M78" i="1" s="1"/>
  <c r="Q78" i="1" s="1"/>
  <c r="L76" i="1"/>
  <c r="M76" i="1" s="1"/>
  <c r="Q76" i="1" s="1"/>
  <c r="L164" i="1"/>
  <c r="M164" i="1" s="1"/>
  <c r="Q164" i="1" s="1"/>
  <c r="L163" i="1"/>
  <c r="M163" i="1" s="1"/>
  <c r="Q163" i="1" s="1"/>
  <c r="L96" i="1"/>
  <c r="M96" i="1" s="1"/>
  <c r="Q96" i="1" s="1"/>
  <c r="L94" i="1"/>
  <c r="M94" i="1" s="1"/>
  <c r="Q94" i="1" s="1"/>
  <c r="L148" i="1"/>
  <c r="M148" i="1" s="1"/>
  <c r="Q148" i="1" s="1"/>
  <c r="L147" i="1"/>
  <c r="M147" i="1" s="1"/>
  <c r="Q147" i="1" s="1"/>
  <c r="L132" i="1"/>
  <c r="M132" i="1" s="1"/>
  <c r="Q132" i="1" s="1"/>
  <c r="L131" i="1"/>
  <c r="M131" i="1" s="1"/>
  <c r="Q131" i="1" s="1"/>
  <c r="L173" i="1"/>
  <c r="M173" i="1" s="1"/>
  <c r="Q173" i="1" s="1"/>
  <c r="L172" i="1"/>
  <c r="M172" i="1" s="1"/>
  <c r="Q172" i="1" s="1"/>
  <c r="L168" i="1"/>
  <c r="M168" i="1" s="1"/>
  <c r="Q168" i="1" s="1"/>
  <c r="L167" i="1"/>
  <c r="M167" i="1" s="1"/>
  <c r="Q167" i="1" s="1"/>
  <c r="L177" i="1"/>
  <c r="M177" i="1" s="1"/>
  <c r="Q177" i="1" s="1"/>
  <c r="L176" i="1"/>
  <c r="M176" i="1" s="1"/>
  <c r="Q176" i="1" s="1"/>
  <c r="L120" i="1"/>
  <c r="M120" i="1" s="1"/>
  <c r="Q120" i="1" s="1"/>
  <c r="L119" i="1"/>
  <c r="M119" i="1" s="1"/>
  <c r="Q119" i="1" s="1"/>
  <c r="L188" i="1"/>
  <c r="M188" i="1" s="1"/>
  <c r="Q188" i="1" s="1"/>
  <c r="L187" i="1"/>
  <c r="M187" i="1" s="1"/>
  <c r="Q187" i="1" s="1"/>
  <c r="L144" i="1"/>
  <c r="M144" i="1" s="1"/>
  <c r="Q144" i="1" s="1"/>
  <c r="L91" i="1"/>
  <c r="M91" i="1" s="1"/>
  <c r="Q91" i="1" s="1"/>
  <c r="L464" i="1"/>
  <c r="L462" i="1" s="1"/>
  <c r="L458" i="1"/>
  <c r="L451" i="1" s="1"/>
  <c r="L448" i="1"/>
  <c r="L428" i="1"/>
  <c r="L426" i="1" s="1"/>
  <c r="L389" i="1"/>
  <c r="L388" i="1"/>
  <c r="L387" i="1"/>
  <c r="L367" i="1"/>
  <c r="L359" i="1"/>
  <c r="L336" i="1" s="1"/>
  <c r="L335" i="1"/>
  <c r="L333" i="1" s="1"/>
  <c r="L332" i="1"/>
  <c r="L326" i="1"/>
  <c r="M326" i="1" s="1"/>
  <c r="Q326" i="1" s="1"/>
  <c r="L325" i="1"/>
  <c r="M325" i="1" s="1"/>
  <c r="Q325" i="1" s="1"/>
  <c r="L293" i="1"/>
  <c r="M293" i="1" s="1"/>
  <c r="Q293" i="1" s="1"/>
  <c r="L292" i="1"/>
  <c r="L288" i="1"/>
  <c r="L290" i="1"/>
  <c r="L286" i="1"/>
  <c r="L283" i="1"/>
  <c r="L266" i="1"/>
  <c r="L446" i="1"/>
  <c r="L366" i="1"/>
  <c r="L248" i="1"/>
  <c r="M248" i="1" s="1"/>
  <c r="Q248" i="1" s="1"/>
  <c r="L136" i="1"/>
  <c r="M136" i="1" s="1"/>
  <c r="Q136" i="1" s="1"/>
  <c r="L166" i="1"/>
  <c r="L371" i="1"/>
  <c r="L368" i="1" s="1"/>
  <c r="J236" i="1"/>
  <c r="M236" i="1" s="1"/>
  <c r="Q236" i="1" s="1"/>
  <c r="J175" i="1"/>
  <c r="J118" i="1"/>
  <c r="J191" i="1"/>
  <c r="M191" i="1" s="1"/>
  <c r="Q191" i="1" s="1"/>
  <c r="J358" i="1"/>
  <c r="M358" i="1" s="1"/>
  <c r="Q358" i="1" s="1"/>
  <c r="J357" i="1"/>
  <c r="M357" i="1" s="1"/>
  <c r="Q357" i="1" s="1"/>
  <c r="J356" i="1"/>
  <c r="M356" i="1" s="1"/>
  <c r="Q356" i="1" s="1"/>
  <c r="J355" i="1"/>
  <c r="M355" i="1" s="1"/>
  <c r="Q355" i="1" s="1"/>
  <c r="J313" i="1"/>
  <c r="M313" i="1" s="1"/>
  <c r="Q313" i="1" s="1"/>
  <c r="J309" i="1"/>
  <c r="M309" i="1" s="1"/>
  <c r="Q309" i="1" s="1"/>
  <c r="J109" i="1"/>
  <c r="M109" i="1" s="1"/>
  <c r="Q109" i="1" s="1"/>
  <c r="J189" i="1"/>
  <c r="M189" i="1" s="1"/>
  <c r="Q189" i="1" s="1"/>
  <c r="J196" i="1"/>
  <c r="M196" i="1" s="1"/>
  <c r="Q196" i="1" s="1"/>
  <c r="L480" i="1"/>
  <c r="L465" i="1"/>
  <c r="L459" i="1"/>
  <c r="L438" i="1"/>
  <c r="L398" i="1"/>
  <c r="L375" i="1"/>
  <c r="L360" i="1"/>
  <c r="L62" i="1"/>
  <c r="L50" i="1"/>
  <c r="L20" i="1"/>
  <c r="K254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82" i="1"/>
  <c r="K174" i="1"/>
  <c r="K186" i="1"/>
  <c r="K170" i="1"/>
  <c r="K165" i="1"/>
  <c r="K159" i="1"/>
  <c r="M159" i="1" s="1"/>
  <c r="Q159" i="1" s="1"/>
  <c r="K158" i="1"/>
  <c r="M158" i="1" s="1"/>
  <c r="Q158" i="1" s="1"/>
  <c r="K157" i="1"/>
  <c r="K149" i="1"/>
  <c r="K145" i="1"/>
  <c r="K134" i="1"/>
  <c r="K130" i="1"/>
  <c r="K110" i="1"/>
  <c r="K121" i="1"/>
  <c r="K69" i="1"/>
  <c r="K411" i="1"/>
  <c r="M411" i="1" s="1"/>
  <c r="Q411" i="1" s="1"/>
  <c r="K417" i="1"/>
  <c r="M417" i="1" s="1"/>
  <c r="Q417" i="1" s="1"/>
  <c r="K404" i="1"/>
  <c r="K480" i="1"/>
  <c r="K467" i="1"/>
  <c r="K465" i="1" s="1"/>
  <c r="K462" i="1"/>
  <c r="K459" i="1"/>
  <c r="K454" i="1"/>
  <c r="K451" i="1" s="1"/>
  <c r="K446" i="1"/>
  <c r="K444" i="1" s="1"/>
  <c r="K438" i="1"/>
  <c r="K432" i="1"/>
  <c r="K430" i="1" s="1"/>
  <c r="P372" i="1" l="1"/>
  <c r="P470" i="1" s="1"/>
  <c r="P481" i="1" s="1"/>
  <c r="O58" i="1"/>
  <c r="O50" i="1"/>
  <c r="O383" i="1"/>
  <c r="O402" i="1"/>
  <c r="N58" i="1"/>
  <c r="O67" i="1"/>
  <c r="N67" i="1"/>
  <c r="N45" i="1"/>
  <c r="L267" i="1"/>
  <c r="N368" i="1"/>
  <c r="N469" i="1"/>
  <c r="M175" i="1"/>
  <c r="Q175" i="1" s="1"/>
  <c r="M118" i="1"/>
  <c r="Q118" i="1" s="1"/>
  <c r="L24" i="1"/>
  <c r="M35" i="1"/>
  <c r="Q35" i="1" s="1"/>
  <c r="L364" i="1"/>
  <c r="L383" i="1"/>
  <c r="L255" i="1"/>
  <c r="L444" i="1"/>
  <c r="L276" i="1"/>
  <c r="L67" i="1"/>
  <c r="L58" i="1"/>
  <c r="M166" i="1"/>
  <c r="Q166" i="1" s="1"/>
  <c r="L9" i="1"/>
  <c r="L21" i="1" s="1"/>
  <c r="K402" i="1"/>
  <c r="K67" i="1"/>
  <c r="K426" i="1"/>
  <c r="K398" i="1"/>
  <c r="K397" i="1"/>
  <c r="K396" i="1"/>
  <c r="K383" i="1"/>
  <c r="K378" i="1"/>
  <c r="K375" i="1"/>
  <c r="K371" i="1"/>
  <c r="K368" i="1" s="1"/>
  <c r="K364" i="1"/>
  <c r="K363" i="1"/>
  <c r="K360" i="1" s="1"/>
  <c r="K359" i="1"/>
  <c r="K354" i="1"/>
  <c r="K333" i="1"/>
  <c r="K332" i="1"/>
  <c r="K267" i="1"/>
  <c r="K255" i="1"/>
  <c r="K62" i="1"/>
  <c r="K61" i="1"/>
  <c r="K60" i="1"/>
  <c r="K54" i="1"/>
  <c r="K50" i="1" s="1"/>
  <c r="K49" i="1"/>
  <c r="K45" i="1" s="1"/>
  <c r="K24" i="1"/>
  <c r="K20" i="1"/>
  <c r="K8" i="1"/>
  <c r="K7" i="1"/>
  <c r="K6" i="1"/>
  <c r="K5" i="1"/>
  <c r="C255" i="1"/>
  <c r="C67" i="1"/>
  <c r="C50" i="1"/>
  <c r="C45" i="1"/>
  <c r="C465" i="1"/>
  <c r="C480" i="1"/>
  <c r="I446" i="1"/>
  <c r="I396" i="1"/>
  <c r="I394" i="1" s="1"/>
  <c r="I335" i="1"/>
  <c r="I333" i="1" s="1"/>
  <c r="I60" i="1"/>
  <c r="I44" i="1"/>
  <c r="I29" i="1"/>
  <c r="J29" i="1" s="1"/>
  <c r="M29" i="1" s="1"/>
  <c r="Q29" i="1" s="1"/>
  <c r="I448" i="1"/>
  <c r="I464" i="1"/>
  <c r="I462" i="1" s="1"/>
  <c r="I432" i="1"/>
  <c r="I430" i="1" s="1"/>
  <c r="I428" i="1"/>
  <c r="I426" i="1" s="1"/>
  <c r="I389" i="1"/>
  <c r="I386" i="1"/>
  <c r="I387" i="1"/>
  <c r="I367" i="1"/>
  <c r="I364" i="1" s="1"/>
  <c r="I343" i="1"/>
  <c r="I301" i="1"/>
  <c r="J301" i="1" s="1"/>
  <c r="M301" i="1" s="1"/>
  <c r="Q301" i="1" s="1"/>
  <c r="I332" i="1"/>
  <c r="I275" i="1"/>
  <c r="I257" i="1"/>
  <c r="I266" i="1"/>
  <c r="I237" i="1"/>
  <c r="J237" i="1" s="1"/>
  <c r="M237" i="1" s="1"/>
  <c r="Q237" i="1" s="1"/>
  <c r="I254" i="1"/>
  <c r="I61" i="1"/>
  <c r="I49" i="1"/>
  <c r="I45" i="1" s="1"/>
  <c r="I8" i="1"/>
  <c r="I6" i="1"/>
  <c r="G484" i="1"/>
  <c r="I404" i="1"/>
  <c r="I402" i="1" s="1"/>
  <c r="I363" i="1"/>
  <c r="I360" i="1" s="1"/>
  <c r="I342" i="1"/>
  <c r="J342" i="1" s="1"/>
  <c r="M342" i="1" s="1"/>
  <c r="Q342" i="1" s="1"/>
  <c r="I310" i="1"/>
  <c r="J310" i="1" s="1"/>
  <c r="M310" i="1" s="1"/>
  <c r="Q310" i="1" s="1"/>
  <c r="I319" i="1"/>
  <c r="J319" i="1" s="1"/>
  <c r="M319" i="1" s="1"/>
  <c r="Q319" i="1" s="1"/>
  <c r="I318" i="1"/>
  <c r="J318" i="1" s="1"/>
  <c r="M318" i="1" s="1"/>
  <c r="Q318" i="1" s="1"/>
  <c r="I314" i="1"/>
  <c r="I269" i="1"/>
  <c r="I247" i="1"/>
  <c r="J247" i="1" s="1"/>
  <c r="M247" i="1" s="1"/>
  <c r="Q247" i="1" s="1"/>
  <c r="I241" i="1"/>
  <c r="J241" i="1" s="1"/>
  <c r="M241" i="1" s="1"/>
  <c r="Q241" i="1" s="1"/>
  <c r="I243" i="1"/>
  <c r="J243" i="1" s="1"/>
  <c r="M243" i="1" s="1"/>
  <c r="Q243" i="1" s="1"/>
  <c r="I242" i="1"/>
  <c r="J242" i="1" s="1"/>
  <c r="M242" i="1" s="1"/>
  <c r="Q242" i="1" s="1"/>
  <c r="I238" i="1"/>
  <c r="J238" i="1" s="1"/>
  <c r="M238" i="1" s="1"/>
  <c r="Q238" i="1" s="1"/>
  <c r="I252" i="1"/>
  <c r="J252" i="1" s="1"/>
  <c r="M252" i="1" s="1"/>
  <c r="Q252" i="1" s="1"/>
  <c r="I235" i="1"/>
  <c r="J235" i="1" s="1"/>
  <c r="M235" i="1" s="1"/>
  <c r="Q235" i="1" s="1"/>
  <c r="I69" i="1"/>
  <c r="I26" i="1"/>
  <c r="H24" i="1"/>
  <c r="H480" i="1"/>
  <c r="I480" i="1"/>
  <c r="I465" i="1"/>
  <c r="C462" i="1"/>
  <c r="I459" i="1"/>
  <c r="C459" i="1"/>
  <c r="I451" i="1"/>
  <c r="C451" i="1"/>
  <c r="C444" i="1"/>
  <c r="I438" i="1"/>
  <c r="H438" i="1"/>
  <c r="C438" i="1"/>
  <c r="H430" i="1"/>
  <c r="C430" i="1"/>
  <c r="H426" i="1"/>
  <c r="C426" i="1"/>
  <c r="H402" i="1"/>
  <c r="I398" i="1"/>
  <c r="H398" i="1"/>
  <c r="C398" i="1"/>
  <c r="H394" i="1"/>
  <c r="H383" i="1"/>
  <c r="I378" i="1"/>
  <c r="H378" i="1"/>
  <c r="I375" i="1"/>
  <c r="H375" i="1"/>
  <c r="I368" i="1"/>
  <c r="H368" i="1"/>
  <c r="C368" i="1"/>
  <c r="H364" i="1"/>
  <c r="C364" i="1"/>
  <c r="H360" i="1"/>
  <c r="C360" i="1"/>
  <c r="H336" i="1"/>
  <c r="C336" i="1"/>
  <c r="H333" i="1"/>
  <c r="C333" i="1"/>
  <c r="H276" i="1"/>
  <c r="C276" i="1"/>
  <c r="H267" i="1"/>
  <c r="C267" i="1"/>
  <c r="H255" i="1"/>
  <c r="H67" i="1"/>
  <c r="C62" i="1"/>
  <c r="I62" i="1"/>
  <c r="H58" i="1"/>
  <c r="C58" i="1"/>
  <c r="I50" i="1"/>
  <c r="H50" i="1"/>
  <c r="H45" i="1"/>
  <c r="I20" i="1"/>
  <c r="H20" i="1"/>
  <c r="H9" i="1"/>
  <c r="J385" i="1"/>
  <c r="M385" i="1" s="1"/>
  <c r="Q385" i="1" s="1"/>
  <c r="J405" i="1"/>
  <c r="M405" i="1" s="1"/>
  <c r="Q405" i="1" s="1"/>
  <c r="J406" i="1"/>
  <c r="M406" i="1" s="1"/>
  <c r="Q406" i="1" s="1"/>
  <c r="J413" i="1"/>
  <c r="M413" i="1" s="1"/>
  <c r="Q413" i="1" s="1"/>
  <c r="H485" i="1"/>
  <c r="H465" i="1"/>
  <c r="H462" i="1"/>
  <c r="H459" i="1"/>
  <c r="H451" i="1"/>
  <c r="H444" i="1"/>
  <c r="H62" i="1"/>
  <c r="O469" i="1" l="1"/>
  <c r="O372" i="1"/>
  <c r="C469" i="1"/>
  <c r="N372" i="1"/>
  <c r="N470" i="1" s="1"/>
  <c r="N481" i="1" s="1"/>
  <c r="L469" i="1"/>
  <c r="K9" i="1"/>
  <c r="K21" i="1" s="1"/>
  <c r="L372" i="1"/>
  <c r="K58" i="1"/>
  <c r="K394" i="1"/>
  <c r="K469" i="1" s="1"/>
  <c r="K276" i="1"/>
  <c r="K336" i="1"/>
  <c r="I336" i="1"/>
  <c r="J343" i="1"/>
  <c r="M343" i="1" s="1"/>
  <c r="Q343" i="1" s="1"/>
  <c r="I383" i="1"/>
  <c r="I255" i="1"/>
  <c r="I276" i="1"/>
  <c r="J314" i="1"/>
  <c r="M314" i="1" s="1"/>
  <c r="Q314" i="1" s="1"/>
  <c r="I267" i="1"/>
  <c r="I9" i="1"/>
  <c r="I21" i="1" s="1"/>
  <c r="H372" i="1"/>
  <c r="I58" i="1"/>
  <c r="I67" i="1"/>
  <c r="H21" i="1"/>
  <c r="I24" i="1"/>
  <c r="J26" i="1"/>
  <c r="M26" i="1" s="1"/>
  <c r="H469" i="1"/>
  <c r="I444" i="1"/>
  <c r="F446" i="1"/>
  <c r="F448" i="1"/>
  <c r="F464" i="1"/>
  <c r="F462" i="1" s="1"/>
  <c r="F367" i="1"/>
  <c r="F428" i="1"/>
  <c r="F396" i="1"/>
  <c r="F394" i="1" s="1"/>
  <c r="F371" i="1"/>
  <c r="G371" i="1" s="1"/>
  <c r="J371" i="1" s="1"/>
  <c r="M371" i="1" s="1"/>
  <c r="Q371" i="1" s="1"/>
  <c r="F266" i="1"/>
  <c r="F257" i="1"/>
  <c r="F259" i="1"/>
  <c r="G259" i="1" s="1"/>
  <c r="J259" i="1" s="1"/>
  <c r="M259" i="1" s="1"/>
  <c r="Q259" i="1" s="1"/>
  <c r="F254" i="1"/>
  <c r="F69" i="1"/>
  <c r="F60" i="1"/>
  <c r="F58" i="1" s="1"/>
  <c r="F47" i="1"/>
  <c r="G47" i="1" s="1"/>
  <c r="J47" i="1" s="1"/>
  <c r="M47" i="1" s="1"/>
  <c r="Q47" i="1" s="1"/>
  <c r="F44" i="1"/>
  <c r="F28" i="1"/>
  <c r="G28" i="1" s="1"/>
  <c r="J28" i="1" s="1"/>
  <c r="M28" i="1" s="1"/>
  <c r="Q28" i="1" s="1"/>
  <c r="F30" i="1"/>
  <c r="G30" i="1" s="1"/>
  <c r="J30" i="1" s="1"/>
  <c r="M30" i="1" s="1"/>
  <c r="Q30" i="1" s="1"/>
  <c r="F38" i="1"/>
  <c r="G38" i="1" s="1"/>
  <c r="J38" i="1" s="1"/>
  <c r="M38" i="1" s="1"/>
  <c r="Q38" i="1" s="1"/>
  <c r="F8" i="1"/>
  <c r="F6" i="1"/>
  <c r="F432" i="1"/>
  <c r="F430" i="1" s="1"/>
  <c r="F404" i="1"/>
  <c r="F402" i="1" s="1"/>
  <c r="F269" i="1"/>
  <c r="G269" i="1" s="1"/>
  <c r="J269" i="1" s="1"/>
  <c r="F388" i="1"/>
  <c r="F380" i="1"/>
  <c r="F335" i="1"/>
  <c r="F333" i="1" s="1"/>
  <c r="F316" i="1"/>
  <c r="G316" i="1" s="1"/>
  <c r="J316" i="1" s="1"/>
  <c r="M316" i="1" s="1"/>
  <c r="Q316" i="1" s="1"/>
  <c r="F332" i="1"/>
  <c r="F275" i="1"/>
  <c r="F198" i="1"/>
  <c r="G198" i="1" s="1"/>
  <c r="J198" i="1" s="1"/>
  <c r="M198" i="1" s="1"/>
  <c r="Q198" i="1" s="1"/>
  <c r="F155" i="1"/>
  <c r="G155" i="1" s="1"/>
  <c r="J155" i="1" s="1"/>
  <c r="M155" i="1" s="1"/>
  <c r="Q155" i="1" s="1"/>
  <c r="F77" i="1"/>
  <c r="G77" i="1" s="1"/>
  <c r="F75" i="1"/>
  <c r="G75" i="1" s="1"/>
  <c r="F89" i="1"/>
  <c r="G89" i="1" s="1"/>
  <c r="F142" i="1"/>
  <c r="G142" i="1" s="1"/>
  <c r="F140" i="1"/>
  <c r="G140" i="1" s="1"/>
  <c r="F87" i="1"/>
  <c r="G87" i="1" s="1"/>
  <c r="F83" i="1"/>
  <c r="G83" i="1" s="1"/>
  <c r="F81" i="1"/>
  <c r="G81" i="1" s="1"/>
  <c r="F171" i="1"/>
  <c r="G171" i="1" s="1"/>
  <c r="J171" i="1" s="1"/>
  <c r="M171" i="1" s="1"/>
  <c r="Q171" i="1" s="1"/>
  <c r="F146" i="1"/>
  <c r="G146" i="1" s="1"/>
  <c r="J146" i="1" s="1"/>
  <c r="M146" i="1" s="1"/>
  <c r="Q146" i="1" s="1"/>
  <c r="F154" i="1"/>
  <c r="G154" i="1" s="1"/>
  <c r="J154" i="1" s="1"/>
  <c r="M154" i="1" s="1"/>
  <c r="Q154" i="1" s="1"/>
  <c r="F49" i="1"/>
  <c r="G49" i="1" s="1"/>
  <c r="J49" i="1" s="1"/>
  <c r="M49" i="1" s="1"/>
  <c r="Q49" i="1" s="1"/>
  <c r="F40" i="1"/>
  <c r="G40" i="1" s="1"/>
  <c r="J40" i="1" s="1"/>
  <c r="M40" i="1" s="1"/>
  <c r="Q40" i="1" s="1"/>
  <c r="F32" i="1"/>
  <c r="G32" i="1" s="1"/>
  <c r="J32" i="1" s="1"/>
  <c r="M32" i="1" s="1"/>
  <c r="Q32" i="1" s="1"/>
  <c r="F480" i="1"/>
  <c r="F465" i="1"/>
  <c r="G467" i="1"/>
  <c r="J467" i="1" s="1"/>
  <c r="F458" i="1"/>
  <c r="G458" i="1" s="1"/>
  <c r="J458" i="1" s="1"/>
  <c r="M458" i="1" s="1"/>
  <c r="Q458" i="1" s="1"/>
  <c r="F454" i="1"/>
  <c r="G454" i="1" s="1"/>
  <c r="J454" i="1" s="1"/>
  <c r="M454" i="1" s="1"/>
  <c r="Q454" i="1" s="1"/>
  <c r="F459" i="1"/>
  <c r="F438" i="1"/>
  <c r="F398" i="1"/>
  <c r="F387" i="1"/>
  <c r="G387" i="1" s="1"/>
  <c r="J387" i="1" s="1"/>
  <c r="M387" i="1" s="1"/>
  <c r="Q387" i="1" s="1"/>
  <c r="F386" i="1"/>
  <c r="F375" i="1"/>
  <c r="F50" i="1"/>
  <c r="F366" i="1"/>
  <c r="G366" i="1" s="1"/>
  <c r="J366" i="1" s="1"/>
  <c r="M366" i="1" s="1"/>
  <c r="Q366" i="1" s="1"/>
  <c r="F360" i="1"/>
  <c r="F336" i="1"/>
  <c r="F311" i="1"/>
  <c r="F327" i="1"/>
  <c r="G327" i="1" s="1"/>
  <c r="J327" i="1" s="1"/>
  <c r="M327" i="1" s="1"/>
  <c r="Q327" i="1" s="1"/>
  <c r="F315" i="1"/>
  <c r="G315" i="1" s="1"/>
  <c r="J315" i="1" s="1"/>
  <c r="M315" i="1" s="1"/>
  <c r="Q315" i="1" s="1"/>
  <c r="F328" i="1"/>
  <c r="G328" i="1" s="1"/>
  <c r="J328" i="1" s="1"/>
  <c r="M328" i="1" s="1"/>
  <c r="Q328" i="1" s="1"/>
  <c r="F183" i="1"/>
  <c r="G183" i="1" s="1"/>
  <c r="J183" i="1" s="1"/>
  <c r="M183" i="1" s="1"/>
  <c r="Q183" i="1" s="1"/>
  <c r="F105" i="1"/>
  <c r="G105" i="1" s="1"/>
  <c r="J105" i="1" s="1"/>
  <c r="M105" i="1" s="1"/>
  <c r="Q105" i="1" s="1"/>
  <c r="F101" i="1"/>
  <c r="G101" i="1" s="1"/>
  <c r="F99" i="1"/>
  <c r="G99" i="1" s="1"/>
  <c r="F152" i="1"/>
  <c r="G152" i="1" s="1"/>
  <c r="F150" i="1"/>
  <c r="G150" i="1" s="1"/>
  <c r="F124" i="1"/>
  <c r="G124" i="1" s="1"/>
  <c r="F122" i="1"/>
  <c r="G122" i="1" s="1"/>
  <c r="F114" i="1"/>
  <c r="G114" i="1" s="1"/>
  <c r="F112" i="1"/>
  <c r="G112" i="1" s="1"/>
  <c r="F95" i="1"/>
  <c r="G95" i="1" s="1"/>
  <c r="F93" i="1"/>
  <c r="G93" i="1" s="1"/>
  <c r="F162" i="1"/>
  <c r="G162" i="1" s="1"/>
  <c r="J162" i="1" s="1"/>
  <c r="M162" i="1" s="1"/>
  <c r="Q162" i="1" s="1"/>
  <c r="F97" i="1"/>
  <c r="G97" i="1" s="1"/>
  <c r="J97" i="1" s="1"/>
  <c r="M97" i="1" s="1"/>
  <c r="Q97" i="1" s="1"/>
  <c r="F135" i="1"/>
  <c r="G135" i="1" s="1"/>
  <c r="J135" i="1" s="1"/>
  <c r="M135" i="1" s="1"/>
  <c r="Q135" i="1" s="1"/>
  <c r="F128" i="1"/>
  <c r="G128" i="1" s="1"/>
  <c r="J128" i="1" s="1"/>
  <c r="M128" i="1" s="1"/>
  <c r="Q128" i="1" s="1"/>
  <c r="F103" i="1"/>
  <c r="G103" i="1" s="1"/>
  <c r="J103" i="1" s="1"/>
  <c r="M103" i="1" s="1"/>
  <c r="Q103" i="1" s="1"/>
  <c r="F79" i="1"/>
  <c r="G79" i="1" s="1"/>
  <c r="J79" i="1" s="1"/>
  <c r="M79" i="1" s="1"/>
  <c r="Q79" i="1" s="1"/>
  <c r="F126" i="1"/>
  <c r="G126" i="1" s="1"/>
  <c r="J126" i="1" s="1"/>
  <c r="M126" i="1" s="1"/>
  <c r="Q126" i="1" s="1"/>
  <c r="F62" i="1"/>
  <c r="F37" i="1"/>
  <c r="G37" i="1" s="1"/>
  <c r="J37" i="1" s="1"/>
  <c r="M37" i="1" s="1"/>
  <c r="Q37" i="1" s="1"/>
  <c r="F34" i="1"/>
  <c r="G34" i="1" s="1"/>
  <c r="J34" i="1" s="1"/>
  <c r="M34" i="1" s="1"/>
  <c r="Q34" i="1" s="1"/>
  <c r="F20" i="1"/>
  <c r="G476" i="1"/>
  <c r="J476" i="1" s="1"/>
  <c r="M476" i="1" s="1"/>
  <c r="Q476" i="1" s="1"/>
  <c r="G468" i="1"/>
  <c r="J468" i="1" s="1"/>
  <c r="M468" i="1" s="1"/>
  <c r="Q468" i="1" s="1"/>
  <c r="G474" i="1"/>
  <c r="J474" i="1" s="1"/>
  <c r="M474" i="1" s="1"/>
  <c r="Q474" i="1" s="1"/>
  <c r="G17" i="1"/>
  <c r="J17" i="1" s="1"/>
  <c r="M17" i="1" s="1"/>
  <c r="Q17" i="1" s="1"/>
  <c r="E9" i="1"/>
  <c r="G338" i="1"/>
  <c r="G339" i="1"/>
  <c r="J339" i="1" s="1"/>
  <c r="M339" i="1" s="1"/>
  <c r="Q339" i="1" s="1"/>
  <c r="G340" i="1"/>
  <c r="J340" i="1" s="1"/>
  <c r="M340" i="1" s="1"/>
  <c r="Q340" i="1" s="1"/>
  <c r="G341" i="1"/>
  <c r="J341" i="1" s="1"/>
  <c r="M341" i="1" s="1"/>
  <c r="Q341" i="1" s="1"/>
  <c r="G344" i="1"/>
  <c r="J344" i="1" s="1"/>
  <c r="M344" i="1" s="1"/>
  <c r="Q344" i="1" s="1"/>
  <c r="G345" i="1"/>
  <c r="J345" i="1" s="1"/>
  <c r="M345" i="1" s="1"/>
  <c r="Q345" i="1" s="1"/>
  <c r="G346" i="1"/>
  <c r="J346" i="1" s="1"/>
  <c r="M346" i="1" s="1"/>
  <c r="Q346" i="1" s="1"/>
  <c r="G347" i="1"/>
  <c r="J347" i="1" s="1"/>
  <c r="M347" i="1" s="1"/>
  <c r="Q347" i="1" s="1"/>
  <c r="G348" i="1"/>
  <c r="J348" i="1" s="1"/>
  <c r="M348" i="1" s="1"/>
  <c r="Q348" i="1" s="1"/>
  <c r="G349" i="1"/>
  <c r="J349" i="1" s="1"/>
  <c r="M349" i="1" s="1"/>
  <c r="Q349" i="1" s="1"/>
  <c r="G350" i="1"/>
  <c r="J350" i="1" s="1"/>
  <c r="M350" i="1" s="1"/>
  <c r="Q350" i="1" s="1"/>
  <c r="G351" i="1"/>
  <c r="J351" i="1" s="1"/>
  <c r="M351" i="1" s="1"/>
  <c r="Q351" i="1" s="1"/>
  <c r="G352" i="1"/>
  <c r="J352" i="1" s="1"/>
  <c r="M352" i="1" s="1"/>
  <c r="Q352" i="1" s="1"/>
  <c r="G353" i="1"/>
  <c r="J353" i="1" s="1"/>
  <c r="M353" i="1" s="1"/>
  <c r="Q353" i="1" s="1"/>
  <c r="G354" i="1"/>
  <c r="J354" i="1" s="1"/>
  <c r="M354" i="1" s="1"/>
  <c r="Q354" i="1" s="1"/>
  <c r="G362" i="1"/>
  <c r="G363" i="1"/>
  <c r="J363" i="1" s="1"/>
  <c r="M363" i="1" s="1"/>
  <c r="Q363" i="1" s="1"/>
  <c r="G370" i="1"/>
  <c r="G377" i="1"/>
  <c r="G381" i="1"/>
  <c r="J381" i="1" s="1"/>
  <c r="M381" i="1" s="1"/>
  <c r="Q381" i="1" s="1"/>
  <c r="G382" i="1"/>
  <c r="J382" i="1" s="1"/>
  <c r="M382" i="1" s="1"/>
  <c r="Q382" i="1" s="1"/>
  <c r="G389" i="1"/>
  <c r="J389" i="1" s="1"/>
  <c r="M389" i="1" s="1"/>
  <c r="Q389" i="1" s="1"/>
  <c r="G390" i="1"/>
  <c r="J390" i="1" s="1"/>
  <c r="M390" i="1" s="1"/>
  <c r="Q390" i="1" s="1"/>
  <c r="G391" i="1"/>
  <c r="J391" i="1" s="1"/>
  <c r="M391" i="1" s="1"/>
  <c r="Q391" i="1" s="1"/>
  <c r="G392" i="1"/>
  <c r="J392" i="1" s="1"/>
  <c r="M392" i="1" s="1"/>
  <c r="Q392" i="1" s="1"/>
  <c r="G393" i="1"/>
  <c r="J393" i="1" s="1"/>
  <c r="M393" i="1" s="1"/>
  <c r="Q393" i="1" s="1"/>
  <c r="G400" i="1"/>
  <c r="G401" i="1"/>
  <c r="J401" i="1" s="1"/>
  <c r="M401" i="1" s="1"/>
  <c r="Q401" i="1" s="1"/>
  <c r="G407" i="1"/>
  <c r="J407" i="1" s="1"/>
  <c r="M407" i="1" s="1"/>
  <c r="Q407" i="1" s="1"/>
  <c r="G408" i="1"/>
  <c r="J408" i="1" s="1"/>
  <c r="M408" i="1" s="1"/>
  <c r="Q408" i="1" s="1"/>
  <c r="G409" i="1"/>
  <c r="J409" i="1" s="1"/>
  <c r="M409" i="1" s="1"/>
  <c r="Q409" i="1" s="1"/>
  <c r="G412" i="1"/>
  <c r="J412" i="1" s="1"/>
  <c r="M412" i="1" s="1"/>
  <c r="Q412" i="1" s="1"/>
  <c r="G416" i="1"/>
  <c r="J416" i="1" s="1"/>
  <c r="M416" i="1" s="1"/>
  <c r="Q416" i="1" s="1"/>
  <c r="G419" i="1"/>
  <c r="J419" i="1" s="1"/>
  <c r="M419" i="1" s="1"/>
  <c r="Q419" i="1" s="1"/>
  <c r="G422" i="1"/>
  <c r="J422" i="1" s="1"/>
  <c r="M422" i="1" s="1"/>
  <c r="Q422" i="1" s="1"/>
  <c r="G424" i="1"/>
  <c r="J424" i="1" s="1"/>
  <c r="M424" i="1" s="1"/>
  <c r="Q424" i="1" s="1"/>
  <c r="G425" i="1"/>
  <c r="J425" i="1" s="1"/>
  <c r="M425" i="1" s="1"/>
  <c r="Q425" i="1" s="1"/>
  <c r="G429" i="1"/>
  <c r="J429" i="1" s="1"/>
  <c r="M429" i="1" s="1"/>
  <c r="Q429" i="1" s="1"/>
  <c r="G433" i="1"/>
  <c r="J433" i="1" s="1"/>
  <c r="M433" i="1" s="1"/>
  <c r="Q433" i="1" s="1"/>
  <c r="G434" i="1"/>
  <c r="J434" i="1" s="1"/>
  <c r="M434" i="1" s="1"/>
  <c r="Q434" i="1" s="1"/>
  <c r="G435" i="1"/>
  <c r="J435" i="1" s="1"/>
  <c r="M435" i="1" s="1"/>
  <c r="Q435" i="1" s="1"/>
  <c r="G436" i="1"/>
  <c r="J436" i="1" s="1"/>
  <c r="M436" i="1" s="1"/>
  <c r="Q436" i="1" s="1"/>
  <c r="G437" i="1"/>
  <c r="J437" i="1" s="1"/>
  <c r="M437" i="1" s="1"/>
  <c r="Q437" i="1" s="1"/>
  <c r="G440" i="1"/>
  <c r="G442" i="1"/>
  <c r="J442" i="1" s="1"/>
  <c r="M442" i="1" s="1"/>
  <c r="Q442" i="1" s="1"/>
  <c r="G443" i="1"/>
  <c r="J443" i="1" s="1"/>
  <c r="M443" i="1" s="1"/>
  <c r="Q443" i="1" s="1"/>
  <c r="G447" i="1"/>
  <c r="J447" i="1" s="1"/>
  <c r="M447" i="1" s="1"/>
  <c r="Q447" i="1" s="1"/>
  <c r="G449" i="1"/>
  <c r="J449" i="1" s="1"/>
  <c r="M449" i="1" s="1"/>
  <c r="Q449" i="1" s="1"/>
  <c r="G450" i="1"/>
  <c r="J450" i="1" s="1"/>
  <c r="M450" i="1" s="1"/>
  <c r="Q450" i="1" s="1"/>
  <c r="G453" i="1"/>
  <c r="G456" i="1"/>
  <c r="J456" i="1" s="1"/>
  <c r="M456" i="1" s="1"/>
  <c r="Q456" i="1" s="1"/>
  <c r="G457" i="1"/>
  <c r="J457" i="1" s="1"/>
  <c r="M457" i="1" s="1"/>
  <c r="Q457" i="1" s="1"/>
  <c r="G461" i="1"/>
  <c r="G473" i="1"/>
  <c r="G475" i="1"/>
  <c r="J475" i="1" s="1"/>
  <c r="M475" i="1" s="1"/>
  <c r="Q475" i="1" s="1"/>
  <c r="G477" i="1"/>
  <c r="J477" i="1" s="1"/>
  <c r="M477" i="1" s="1"/>
  <c r="Q477" i="1" s="1"/>
  <c r="G478" i="1"/>
  <c r="J478" i="1" s="1"/>
  <c r="M478" i="1" s="1"/>
  <c r="Q478" i="1" s="1"/>
  <c r="G479" i="1"/>
  <c r="J479" i="1" s="1"/>
  <c r="M479" i="1" s="1"/>
  <c r="Q479" i="1" s="1"/>
  <c r="J484" i="1"/>
  <c r="G295" i="1"/>
  <c r="J295" i="1" s="1"/>
  <c r="M295" i="1" s="1"/>
  <c r="Q295" i="1" s="1"/>
  <c r="G296" i="1"/>
  <c r="J296" i="1" s="1"/>
  <c r="M296" i="1" s="1"/>
  <c r="Q296" i="1" s="1"/>
  <c r="G297" i="1"/>
  <c r="J297" i="1" s="1"/>
  <c r="M297" i="1" s="1"/>
  <c r="Q297" i="1" s="1"/>
  <c r="G298" i="1"/>
  <c r="J298" i="1" s="1"/>
  <c r="M298" i="1" s="1"/>
  <c r="Q298" i="1" s="1"/>
  <c r="G299" i="1"/>
  <c r="J299" i="1" s="1"/>
  <c r="M299" i="1" s="1"/>
  <c r="Q299" i="1" s="1"/>
  <c r="G300" i="1"/>
  <c r="J300" i="1" s="1"/>
  <c r="M300" i="1" s="1"/>
  <c r="Q300" i="1" s="1"/>
  <c r="G302" i="1"/>
  <c r="J302" i="1" s="1"/>
  <c r="M302" i="1" s="1"/>
  <c r="Q302" i="1" s="1"/>
  <c r="G303" i="1"/>
  <c r="J303" i="1" s="1"/>
  <c r="M303" i="1" s="1"/>
  <c r="Q303" i="1" s="1"/>
  <c r="G304" i="1"/>
  <c r="J304" i="1" s="1"/>
  <c r="M304" i="1" s="1"/>
  <c r="Q304" i="1" s="1"/>
  <c r="G305" i="1"/>
  <c r="J305" i="1" s="1"/>
  <c r="M305" i="1" s="1"/>
  <c r="Q305" i="1" s="1"/>
  <c r="G307" i="1"/>
  <c r="J307" i="1" s="1"/>
  <c r="M307" i="1" s="1"/>
  <c r="Q307" i="1" s="1"/>
  <c r="G308" i="1"/>
  <c r="J308" i="1" s="1"/>
  <c r="M308" i="1" s="1"/>
  <c r="Q308" i="1" s="1"/>
  <c r="G312" i="1"/>
  <c r="J312" i="1" s="1"/>
  <c r="M312" i="1" s="1"/>
  <c r="Q312" i="1" s="1"/>
  <c r="G320" i="1"/>
  <c r="J320" i="1" s="1"/>
  <c r="M320" i="1" s="1"/>
  <c r="Q320" i="1" s="1"/>
  <c r="G321" i="1"/>
  <c r="J321" i="1" s="1"/>
  <c r="M321" i="1" s="1"/>
  <c r="Q321" i="1" s="1"/>
  <c r="G322" i="1"/>
  <c r="J322" i="1" s="1"/>
  <c r="M322" i="1" s="1"/>
  <c r="Q322" i="1" s="1"/>
  <c r="G323" i="1"/>
  <c r="J323" i="1" s="1"/>
  <c r="M323" i="1" s="1"/>
  <c r="Q323" i="1" s="1"/>
  <c r="G324" i="1"/>
  <c r="J324" i="1" s="1"/>
  <c r="M324" i="1" s="1"/>
  <c r="Q324" i="1" s="1"/>
  <c r="G330" i="1"/>
  <c r="J330" i="1" s="1"/>
  <c r="M330" i="1" s="1"/>
  <c r="Q330" i="1" s="1"/>
  <c r="G331" i="1"/>
  <c r="J331" i="1" s="1"/>
  <c r="M331" i="1" s="1"/>
  <c r="Q331" i="1" s="1"/>
  <c r="G279" i="1"/>
  <c r="J279" i="1" s="1"/>
  <c r="M279" i="1" s="1"/>
  <c r="Q279" i="1" s="1"/>
  <c r="G280" i="1"/>
  <c r="J280" i="1" s="1"/>
  <c r="M280" i="1" s="1"/>
  <c r="Q280" i="1" s="1"/>
  <c r="G281" i="1"/>
  <c r="J281" i="1" s="1"/>
  <c r="M281" i="1" s="1"/>
  <c r="Q281" i="1" s="1"/>
  <c r="G282" i="1"/>
  <c r="J282" i="1" s="1"/>
  <c r="M282" i="1" s="1"/>
  <c r="Q282" i="1" s="1"/>
  <c r="G283" i="1"/>
  <c r="J283" i="1" s="1"/>
  <c r="M283" i="1" s="1"/>
  <c r="Q283" i="1" s="1"/>
  <c r="G284" i="1"/>
  <c r="J284" i="1" s="1"/>
  <c r="M284" i="1" s="1"/>
  <c r="Q284" i="1" s="1"/>
  <c r="G285" i="1"/>
  <c r="J285" i="1" s="1"/>
  <c r="M285" i="1" s="1"/>
  <c r="Q285" i="1" s="1"/>
  <c r="G286" i="1"/>
  <c r="J286" i="1" s="1"/>
  <c r="M286" i="1" s="1"/>
  <c r="Q286" i="1" s="1"/>
  <c r="G287" i="1"/>
  <c r="J287" i="1" s="1"/>
  <c r="M287" i="1" s="1"/>
  <c r="Q287" i="1" s="1"/>
  <c r="G288" i="1"/>
  <c r="J288" i="1" s="1"/>
  <c r="M288" i="1" s="1"/>
  <c r="Q288" i="1" s="1"/>
  <c r="G289" i="1"/>
  <c r="J289" i="1" s="1"/>
  <c r="M289" i="1" s="1"/>
  <c r="Q289" i="1" s="1"/>
  <c r="G290" i="1"/>
  <c r="J290" i="1" s="1"/>
  <c r="M290" i="1" s="1"/>
  <c r="Q290" i="1" s="1"/>
  <c r="G291" i="1"/>
  <c r="J291" i="1" s="1"/>
  <c r="M291" i="1" s="1"/>
  <c r="Q291" i="1" s="1"/>
  <c r="G292" i="1"/>
  <c r="J292" i="1" s="1"/>
  <c r="M292" i="1" s="1"/>
  <c r="Q292" i="1" s="1"/>
  <c r="G294" i="1"/>
  <c r="J294" i="1" s="1"/>
  <c r="M294" i="1" s="1"/>
  <c r="Q294" i="1" s="1"/>
  <c r="G258" i="1"/>
  <c r="J258" i="1" s="1"/>
  <c r="M258" i="1" s="1"/>
  <c r="Q258" i="1" s="1"/>
  <c r="G260" i="1"/>
  <c r="J260" i="1" s="1"/>
  <c r="M260" i="1" s="1"/>
  <c r="Q260" i="1" s="1"/>
  <c r="G261" i="1"/>
  <c r="J261" i="1" s="1"/>
  <c r="M261" i="1" s="1"/>
  <c r="Q261" i="1" s="1"/>
  <c r="G262" i="1"/>
  <c r="J262" i="1" s="1"/>
  <c r="M262" i="1" s="1"/>
  <c r="Q262" i="1" s="1"/>
  <c r="G263" i="1"/>
  <c r="J263" i="1" s="1"/>
  <c r="M263" i="1" s="1"/>
  <c r="Q263" i="1" s="1"/>
  <c r="G264" i="1"/>
  <c r="J264" i="1" s="1"/>
  <c r="M264" i="1" s="1"/>
  <c r="Q264" i="1" s="1"/>
  <c r="G265" i="1"/>
  <c r="J265" i="1" s="1"/>
  <c r="M265" i="1" s="1"/>
  <c r="Q265" i="1" s="1"/>
  <c r="G270" i="1"/>
  <c r="J270" i="1" s="1"/>
  <c r="M270" i="1" s="1"/>
  <c r="Q270" i="1" s="1"/>
  <c r="G271" i="1"/>
  <c r="J271" i="1" s="1"/>
  <c r="M271" i="1" s="1"/>
  <c r="Q271" i="1" s="1"/>
  <c r="G272" i="1"/>
  <c r="J272" i="1" s="1"/>
  <c r="M272" i="1" s="1"/>
  <c r="Q272" i="1" s="1"/>
  <c r="G273" i="1"/>
  <c r="J273" i="1" s="1"/>
  <c r="M273" i="1" s="1"/>
  <c r="Q273" i="1" s="1"/>
  <c r="G274" i="1"/>
  <c r="J274" i="1" s="1"/>
  <c r="M274" i="1" s="1"/>
  <c r="Q274" i="1" s="1"/>
  <c r="G278" i="1"/>
  <c r="J278" i="1" s="1"/>
  <c r="M278" i="1" s="1"/>
  <c r="Q278" i="1" s="1"/>
  <c r="G199" i="1"/>
  <c r="J199" i="1" s="1"/>
  <c r="M199" i="1" s="1"/>
  <c r="Q199" i="1" s="1"/>
  <c r="G202" i="1"/>
  <c r="J202" i="1" s="1"/>
  <c r="M202" i="1" s="1"/>
  <c r="Q202" i="1" s="1"/>
  <c r="G203" i="1"/>
  <c r="J203" i="1" s="1"/>
  <c r="M203" i="1" s="1"/>
  <c r="Q203" i="1" s="1"/>
  <c r="G204" i="1"/>
  <c r="J204" i="1" s="1"/>
  <c r="M204" i="1" s="1"/>
  <c r="Q204" i="1" s="1"/>
  <c r="G205" i="1"/>
  <c r="J205" i="1" s="1"/>
  <c r="M205" i="1" s="1"/>
  <c r="Q205" i="1" s="1"/>
  <c r="G206" i="1"/>
  <c r="J206" i="1" s="1"/>
  <c r="M206" i="1" s="1"/>
  <c r="Q206" i="1" s="1"/>
  <c r="G207" i="1"/>
  <c r="J207" i="1" s="1"/>
  <c r="M207" i="1" s="1"/>
  <c r="Q207" i="1" s="1"/>
  <c r="G208" i="1"/>
  <c r="J208" i="1" s="1"/>
  <c r="M208" i="1" s="1"/>
  <c r="Q208" i="1" s="1"/>
  <c r="G209" i="1"/>
  <c r="J209" i="1" s="1"/>
  <c r="M209" i="1" s="1"/>
  <c r="Q209" i="1" s="1"/>
  <c r="G210" i="1"/>
  <c r="J210" i="1" s="1"/>
  <c r="M210" i="1" s="1"/>
  <c r="Q210" i="1" s="1"/>
  <c r="G211" i="1"/>
  <c r="J211" i="1" s="1"/>
  <c r="M211" i="1" s="1"/>
  <c r="Q211" i="1" s="1"/>
  <c r="G212" i="1"/>
  <c r="J212" i="1" s="1"/>
  <c r="M212" i="1" s="1"/>
  <c r="Q212" i="1" s="1"/>
  <c r="G213" i="1"/>
  <c r="J213" i="1" s="1"/>
  <c r="M213" i="1" s="1"/>
  <c r="Q213" i="1" s="1"/>
  <c r="G214" i="1"/>
  <c r="J214" i="1" s="1"/>
  <c r="M214" i="1" s="1"/>
  <c r="Q214" i="1" s="1"/>
  <c r="G215" i="1"/>
  <c r="J215" i="1" s="1"/>
  <c r="M215" i="1" s="1"/>
  <c r="Q215" i="1" s="1"/>
  <c r="G216" i="1"/>
  <c r="J216" i="1" s="1"/>
  <c r="M216" i="1" s="1"/>
  <c r="Q216" i="1" s="1"/>
  <c r="G217" i="1"/>
  <c r="J217" i="1" s="1"/>
  <c r="M217" i="1" s="1"/>
  <c r="Q217" i="1" s="1"/>
  <c r="G218" i="1"/>
  <c r="J218" i="1" s="1"/>
  <c r="M218" i="1" s="1"/>
  <c r="Q218" i="1" s="1"/>
  <c r="G219" i="1"/>
  <c r="J219" i="1" s="1"/>
  <c r="M219" i="1" s="1"/>
  <c r="Q219" i="1" s="1"/>
  <c r="G220" i="1"/>
  <c r="J220" i="1" s="1"/>
  <c r="M220" i="1" s="1"/>
  <c r="Q220" i="1" s="1"/>
  <c r="G221" i="1"/>
  <c r="J221" i="1" s="1"/>
  <c r="M221" i="1" s="1"/>
  <c r="Q221" i="1" s="1"/>
  <c r="G222" i="1"/>
  <c r="J222" i="1" s="1"/>
  <c r="M222" i="1" s="1"/>
  <c r="Q222" i="1" s="1"/>
  <c r="G223" i="1"/>
  <c r="J223" i="1" s="1"/>
  <c r="M223" i="1" s="1"/>
  <c r="Q223" i="1" s="1"/>
  <c r="G224" i="1"/>
  <c r="J224" i="1" s="1"/>
  <c r="M224" i="1" s="1"/>
  <c r="Q224" i="1" s="1"/>
  <c r="G225" i="1"/>
  <c r="J225" i="1" s="1"/>
  <c r="M225" i="1" s="1"/>
  <c r="Q225" i="1" s="1"/>
  <c r="G226" i="1"/>
  <c r="J226" i="1" s="1"/>
  <c r="M226" i="1" s="1"/>
  <c r="Q226" i="1" s="1"/>
  <c r="G227" i="1"/>
  <c r="J227" i="1" s="1"/>
  <c r="M227" i="1" s="1"/>
  <c r="Q227" i="1" s="1"/>
  <c r="G228" i="1"/>
  <c r="J228" i="1" s="1"/>
  <c r="M228" i="1" s="1"/>
  <c r="Q228" i="1" s="1"/>
  <c r="G229" i="1"/>
  <c r="J229" i="1" s="1"/>
  <c r="M229" i="1" s="1"/>
  <c r="Q229" i="1" s="1"/>
  <c r="G230" i="1"/>
  <c r="J230" i="1" s="1"/>
  <c r="M230" i="1" s="1"/>
  <c r="Q230" i="1" s="1"/>
  <c r="G239" i="1"/>
  <c r="J239" i="1" s="1"/>
  <c r="M239" i="1" s="1"/>
  <c r="Q239" i="1" s="1"/>
  <c r="G240" i="1"/>
  <c r="J240" i="1" s="1"/>
  <c r="M240" i="1" s="1"/>
  <c r="Q240" i="1" s="1"/>
  <c r="G249" i="1"/>
  <c r="J249" i="1" s="1"/>
  <c r="M249" i="1" s="1"/>
  <c r="Q249" i="1" s="1"/>
  <c r="G250" i="1"/>
  <c r="J250" i="1" s="1"/>
  <c r="M250" i="1" s="1"/>
  <c r="Q250" i="1" s="1"/>
  <c r="G253" i="1"/>
  <c r="J253" i="1" s="1"/>
  <c r="M253" i="1" s="1"/>
  <c r="Q253" i="1" s="1"/>
  <c r="G127" i="1"/>
  <c r="J127" i="1" s="1"/>
  <c r="M127" i="1" s="1"/>
  <c r="Q127" i="1" s="1"/>
  <c r="G129" i="1"/>
  <c r="J129" i="1" s="1"/>
  <c r="M129" i="1" s="1"/>
  <c r="Q129" i="1" s="1"/>
  <c r="G130" i="1"/>
  <c r="J130" i="1" s="1"/>
  <c r="M130" i="1" s="1"/>
  <c r="Q130" i="1" s="1"/>
  <c r="G134" i="1"/>
  <c r="J134" i="1" s="1"/>
  <c r="M134" i="1" s="1"/>
  <c r="Q134" i="1" s="1"/>
  <c r="G139" i="1"/>
  <c r="J139" i="1" s="1"/>
  <c r="M139" i="1" s="1"/>
  <c r="Q139" i="1" s="1"/>
  <c r="G145" i="1"/>
  <c r="J145" i="1" s="1"/>
  <c r="M145" i="1" s="1"/>
  <c r="Q145" i="1" s="1"/>
  <c r="G149" i="1"/>
  <c r="J149" i="1" s="1"/>
  <c r="M149" i="1" s="1"/>
  <c r="Q149" i="1" s="1"/>
  <c r="G157" i="1"/>
  <c r="J157" i="1" s="1"/>
  <c r="M157" i="1" s="1"/>
  <c r="Q157" i="1" s="1"/>
  <c r="G165" i="1"/>
  <c r="J165" i="1" s="1"/>
  <c r="M165" i="1" s="1"/>
  <c r="Q165" i="1" s="1"/>
  <c r="G170" i="1"/>
  <c r="J170" i="1" s="1"/>
  <c r="M170" i="1" s="1"/>
  <c r="Q170" i="1" s="1"/>
  <c r="G174" i="1"/>
  <c r="J174" i="1" s="1"/>
  <c r="M174" i="1" s="1"/>
  <c r="Q174" i="1" s="1"/>
  <c r="G178" i="1"/>
  <c r="J178" i="1" s="1"/>
  <c r="M178" i="1" s="1"/>
  <c r="Q178" i="1" s="1"/>
  <c r="G179" i="1"/>
  <c r="J179" i="1" s="1"/>
  <c r="M179" i="1" s="1"/>
  <c r="Q179" i="1" s="1"/>
  <c r="G182" i="1"/>
  <c r="J182" i="1" s="1"/>
  <c r="M182" i="1" s="1"/>
  <c r="Q182" i="1" s="1"/>
  <c r="G186" i="1"/>
  <c r="J186" i="1" s="1"/>
  <c r="M186" i="1" s="1"/>
  <c r="Q186" i="1" s="1"/>
  <c r="G190" i="1"/>
  <c r="J190" i="1" s="1"/>
  <c r="M190" i="1" s="1"/>
  <c r="Q190" i="1" s="1"/>
  <c r="G194" i="1"/>
  <c r="J194" i="1" s="1"/>
  <c r="M194" i="1" s="1"/>
  <c r="Q194" i="1" s="1"/>
  <c r="G195" i="1"/>
  <c r="J195" i="1" s="1"/>
  <c r="M195" i="1" s="1"/>
  <c r="Q195" i="1" s="1"/>
  <c r="G197" i="1"/>
  <c r="J197" i="1" s="1"/>
  <c r="M197" i="1" s="1"/>
  <c r="Q197" i="1" s="1"/>
  <c r="G64" i="1"/>
  <c r="G65" i="1"/>
  <c r="J65" i="1" s="1"/>
  <c r="M65" i="1" s="1"/>
  <c r="Q65" i="1" s="1"/>
  <c r="G66" i="1"/>
  <c r="J66" i="1" s="1"/>
  <c r="M66" i="1" s="1"/>
  <c r="Q66" i="1" s="1"/>
  <c r="G70" i="1"/>
  <c r="J70" i="1" s="1"/>
  <c r="M70" i="1" s="1"/>
  <c r="Q70" i="1" s="1"/>
  <c r="G71" i="1"/>
  <c r="J71" i="1" s="1"/>
  <c r="M71" i="1" s="1"/>
  <c r="Q71" i="1" s="1"/>
  <c r="G72" i="1"/>
  <c r="J72" i="1" s="1"/>
  <c r="M72" i="1" s="1"/>
  <c r="Q72" i="1" s="1"/>
  <c r="G74" i="1"/>
  <c r="J74" i="1" s="1"/>
  <c r="M74" i="1" s="1"/>
  <c r="Q74" i="1" s="1"/>
  <c r="G80" i="1"/>
  <c r="J80" i="1" s="1"/>
  <c r="M80" i="1" s="1"/>
  <c r="Q80" i="1" s="1"/>
  <c r="G86" i="1"/>
  <c r="J86" i="1" s="1"/>
  <c r="M86" i="1" s="1"/>
  <c r="Q86" i="1" s="1"/>
  <c r="G92" i="1"/>
  <c r="J92" i="1" s="1"/>
  <c r="M92" i="1" s="1"/>
  <c r="Q92" i="1" s="1"/>
  <c r="G98" i="1"/>
  <c r="J98" i="1" s="1"/>
  <c r="M98" i="1" s="1"/>
  <c r="Q98" i="1" s="1"/>
  <c r="G104" i="1"/>
  <c r="J104" i="1" s="1"/>
  <c r="M104" i="1" s="1"/>
  <c r="Q104" i="1" s="1"/>
  <c r="G108" i="1"/>
  <c r="J108" i="1" s="1"/>
  <c r="M108" i="1" s="1"/>
  <c r="Q108" i="1" s="1"/>
  <c r="G110" i="1"/>
  <c r="J110" i="1" s="1"/>
  <c r="M110" i="1" s="1"/>
  <c r="Q110" i="1" s="1"/>
  <c r="G117" i="1"/>
  <c r="J117" i="1" s="1"/>
  <c r="M117" i="1" s="1"/>
  <c r="Q117" i="1" s="1"/>
  <c r="G121" i="1"/>
  <c r="J121" i="1" s="1"/>
  <c r="M121" i="1" s="1"/>
  <c r="Q121" i="1" s="1"/>
  <c r="G48" i="1"/>
  <c r="J48" i="1" s="1"/>
  <c r="M48" i="1" s="1"/>
  <c r="Q48" i="1" s="1"/>
  <c r="G53" i="1"/>
  <c r="J53" i="1" s="1"/>
  <c r="M53" i="1" s="1"/>
  <c r="Q53" i="1" s="1"/>
  <c r="G54" i="1"/>
  <c r="J54" i="1" s="1"/>
  <c r="M54" i="1" s="1"/>
  <c r="Q54" i="1" s="1"/>
  <c r="G55" i="1"/>
  <c r="J55" i="1" s="1"/>
  <c r="M55" i="1" s="1"/>
  <c r="Q55" i="1" s="1"/>
  <c r="G56" i="1"/>
  <c r="J56" i="1" s="1"/>
  <c r="M56" i="1" s="1"/>
  <c r="Q56" i="1" s="1"/>
  <c r="G7" i="1"/>
  <c r="J7" i="1" s="1"/>
  <c r="M7" i="1" s="1"/>
  <c r="Q7" i="1" s="1"/>
  <c r="G13" i="1"/>
  <c r="J13" i="1" s="1"/>
  <c r="M13" i="1" s="1"/>
  <c r="Q13" i="1" s="1"/>
  <c r="G14" i="1"/>
  <c r="J14" i="1" s="1"/>
  <c r="M14" i="1" s="1"/>
  <c r="Q14" i="1" s="1"/>
  <c r="G15" i="1"/>
  <c r="J15" i="1" s="1"/>
  <c r="M15" i="1" s="1"/>
  <c r="Q15" i="1" s="1"/>
  <c r="G16" i="1"/>
  <c r="J16" i="1" s="1"/>
  <c r="M16" i="1" s="1"/>
  <c r="Q16" i="1" s="1"/>
  <c r="G18" i="1"/>
  <c r="J18" i="1" s="1"/>
  <c r="M18" i="1" s="1"/>
  <c r="Q18" i="1" s="1"/>
  <c r="G19" i="1"/>
  <c r="J19" i="1" s="1"/>
  <c r="M19" i="1" s="1"/>
  <c r="Q19" i="1" s="1"/>
  <c r="G5" i="1"/>
  <c r="J5" i="1" s="1"/>
  <c r="D464" i="1"/>
  <c r="D161" i="1"/>
  <c r="G161" i="1" s="1"/>
  <c r="J161" i="1" s="1"/>
  <c r="M161" i="1" s="1"/>
  <c r="Q161" i="1" s="1"/>
  <c r="D160" i="1"/>
  <c r="G160" i="1" s="1"/>
  <c r="J160" i="1" s="1"/>
  <c r="M160" i="1" s="1"/>
  <c r="Q160" i="1" s="1"/>
  <c r="D181" i="1"/>
  <c r="G181" i="1" s="1"/>
  <c r="J181" i="1" s="1"/>
  <c r="M181" i="1" s="1"/>
  <c r="Q181" i="1" s="1"/>
  <c r="D180" i="1"/>
  <c r="G180" i="1" s="1"/>
  <c r="J180" i="1" s="1"/>
  <c r="M180" i="1" s="1"/>
  <c r="Q180" i="1" s="1"/>
  <c r="D415" i="1"/>
  <c r="G415" i="1" s="1"/>
  <c r="J415" i="1" s="1"/>
  <c r="M415" i="1" s="1"/>
  <c r="Q415" i="1" s="1"/>
  <c r="D85" i="1"/>
  <c r="G85" i="1" s="1"/>
  <c r="J85" i="1" s="1"/>
  <c r="M85" i="1" s="1"/>
  <c r="Q85" i="1" s="1"/>
  <c r="D73" i="1"/>
  <c r="G73" i="1" s="1"/>
  <c r="J73" i="1" s="1"/>
  <c r="M73" i="1" s="1"/>
  <c r="Q73" i="1" s="1"/>
  <c r="D69" i="1"/>
  <c r="E402" i="1"/>
  <c r="D414" i="1"/>
  <c r="G414" i="1" s="1"/>
  <c r="J414" i="1" s="1"/>
  <c r="M414" i="1" s="1"/>
  <c r="Q414" i="1" s="1"/>
  <c r="D421" i="1"/>
  <c r="G421" i="1" s="1"/>
  <c r="J421" i="1" s="1"/>
  <c r="M421" i="1" s="1"/>
  <c r="Q421" i="1" s="1"/>
  <c r="D420" i="1"/>
  <c r="G420" i="1" s="1"/>
  <c r="J420" i="1" s="1"/>
  <c r="M420" i="1" s="1"/>
  <c r="Q420" i="1" s="1"/>
  <c r="D448" i="1"/>
  <c r="D446" i="1"/>
  <c r="D388" i="1"/>
  <c r="D367" i="1"/>
  <c r="D335" i="1"/>
  <c r="D60" i="1"/>
  <c r="E24" i="1"/>
  <c r="D27" i="1"/>
  <c r="G27" i="1" s="1"/>
  <c r="D41" i="1"/>
  <c r="G41" i="1" s="1"/>
  <c r="J41" i="1" s="1"/>
  <c r="M41" i="1" s="1"/>
  <c r="Q41" i="1" s="1"/>
  <c r="D44" i="1"/>
  <c r="D8" i="1"/>
  <c r="D6" i="1"/>
  <c r="E485" i="1"/>
  <c r="E480" i="1"/>
  <c r="E465" i="1"/>
  <c r="E462" i="1"/>
  <c r="E459" i="1"/>
  <c r="E451" i="1"/>
  <c r="E444" i="1"/>
  <c r="E438" i="1"/>
  <c r="E430" i="1"/>
  <c r="E426" i="1"/>
  <c r="E398" i="1"/>
  <c r="E394" i="1"/>
  <c r="E383" i="1"/>
  <c r="E378" i="1"/>
  <c r="E375" i="1"/>
  <c r="E368" i="1"/>
  <c r="E364" i="1"/>
  <c r="E360" i="1"/>
  <c r="E336" i="1"/>
  <c r="E333" i="1"/>
  <c r="E276" i="1"/>
  <c r="E267" i="1"/>
  <c r="E255" i="1"/>
  <c r="E67" i="1"/>
  <c r="E62" i="1"/>
  <c r="E58" i="1"/>
  <c r="E50" i="1"/>
  <c r="E45" i="1"/>
  <c r="E20" i="1"/>
  <c r="D359" i="1"/>
  <c r="D336" i="1" s="1"/>
  <c r="D31" i="1"/>
  <c r="G31" i="1" s="1"/>
  <c r="J31" i="1" s="1"/>
  <c r="M31" i="1" s="1"/>
  <c r="Q31" i="1" s="1"/>
  <c r="D43" i="1"/>
  <c r="G43" i="1" s="1"/>
  <c r="J43" i="1" s="1"/>
  <c r="M43" i="1" s="1"/>
  <c r="Q43" i="1" s="1"/>
  <c r="D33" i="1"/>
  <c r="G33" i="1" s="1"/>
  <c r="J33" i="1" s="1"/>
  <c r="M33" i="1" s="1"/>
  <c r="Q33" i="1" s="1"/>
  <c r="D42" i="1"/>
  <c r="G42" i="1" s="1"/>
  <c r="J42" i="1" s="1"/>
  <c r="M42" i="1" s="1"/>
  <c r="Q42" i="1" s="1"/>
  <c r="D12" i="1"/>
  <c r="D20" i="1" s="1"/>
  <c r="D432" i="1"/>
  <c r="D430" i="1" s="1"/>
  <c r="D396" i="1"/>
  <c r="D397" i="1"/>
  <c r="G397" i="1" s="1"/>
  <c r="J397" i="1" s="1"/>
  <c r="M397" i="1" s="1"/>
  <c r="Q397" i="1" s="1"/>
  <c r="D386" i="1"/>
  <c r="D329" i="1"/>
  <c r="G329" i="1" s="1"/>
  <c r="J329" i="1" s="1"/>
  <c r="M329" i="1" s="1"/>
  <c r="Q329" i="1" s="1"/>
  <c r="D332" i="1"/>
  <c r="D266" i="1"/>
  <c r="D257" i="1"/>
  <c r="D231" i="1"/>
  <c r="G231" i="1" s="1"/>
  <c r="J231" i="1" s="1"/>
  <c r="M231" i="1" s="1"/>
  <c r="Q231" i="1" s="1"/>
  <c r="D245" i="1"/>
  <c r="G245" i="1" s="1"/>
  <c r="J245" i="1" s="1"/>
  <c r="M245" i="1" s="1"/>
  <c r="Q245" i="1" s="1"/>
  <c r="D246" i="1"/>
  <c r="G246" i="1" s="1"/>
  <c r="J246" i="1" s="1"/>
  <c r="M246" i="1" s="1"/>
  <c r="Q246" i="1" s="1"/>
  <c r="D251" i="1"/>
  <c r="G251" i="1" s="1"/>
  <c r="J251" i="1" s="1"/>
  <c r="M251" i="1" s="1"/>
  <c r="Q251" i="1" s="1"/>
  <c r="D234" i="1"/>
  <c r="G234" i="1" s="1"/>
  <c r="J234" i="1" s="1"/>
  <c r="M234" i="1" s="1"/>
  <c r="Q234" i="1" s="1"/>
  <c r="D233" i="1"/>
  <c r="G233" i="1" s="1"/>
  <c r="J233" i="1" s="1"/>
  <c r="M233" i="1" s="1"/>
  <c r="Q233" i="1" s="1"/>
  <c r="D232" i="1"/>
  <c r="G232" i="1" s="1"/>
  <c r="J232" i="1" s="1"/>
  <c r="M232" i="1" s="1"/>
  <c r="Q232" i="1" s="1"/>
  <c r="D254" i="1"/>
  <c r="D61" i="1"/>
  <c r="G61" i="1" s="1"/>
  <c r="D57" i="1"/>
  <c r="G57" i="1" s="1"/>
  <c r="J57" i="1" s="1"/>
  <c r="M57" i="1" s="1"/>
  <c r="Q57" i="1" s="1"/>
  <c r="D52" i="1"/>
  <c r="G52" i="1" s="1"/>
  <c r="D39" i="1"/>
  <c r="G39" i="1" s="1"/>
  <c r="J39" i="1" s="1"/>
  <c r="M39" i="1" s="1"/>
  <c r="Q39" i="1" s="1"/>
  <c r="D36" i="1"/>
  <c r="G36" i="1" s="1"/>
  <c r="J36" i="1" s="1"/>
  <c r="M36" i="1" s="1"/>
  <c r="Q36" i="1" s="1"/>
  <c r="D45" i="1"/>
  <c r="D480" i="1"/>
  <c r="D465" i="1"/>
  <c r="D459" i="1"/>
  <c r="D451" i="1"/>
  <c r="D438" i="1"/>
  <c r="D426" i="1"/>
  <c r="D398" i="1"/>
  <c r="D378" i="1"/>
  <c r="D375" i="1"/>
  <c r="D368" i="1"/>
  <c r="D360" i="1"/>
  <c r="D267" i="1"/>
  <c r="D201" i="1"/>
  <c r="G201" i="1" s="1"/>
  <c r="J201" i="1" s="1"/>
  <c r="M201" i="1" s="1"/>
  <c r="Q201" i="1" s="1"/>
  <c r="D200" i="1"/>
  <c r="G200" i="1" s="1"/>
  <c r="J200" i="1" s="1"/>
  <c r="M200" i="1" s="1"/>
  <c r="Q200" i="1" s="1"/>
  <c r="D62" i="1"/>
  <c r="G60" i="1" l="1"/>
  <c r="Q26" i="1"/>
  <c r="O470" i="1"/>
  <c r="O481" i="1" s="1"/>
  <c r="M45" i="1"/>
  <c r="Q45" i="1" s="1"/>
  <c r="L470" i="1"/>
  <c r="L481" i="1" s="1"/>
  <c r="J122" i="1"/>
  <c r="M122" i="1" s="1"/>
  <c r="Q122" i="1" s="1"/>
  <c r="J140" i="1"/>
  <c r="M140" i="1" s="1"/>
  <c r="Q140" i="1" s="1"/>
  <c r="J124" i="1"/>
  <c r="M124" i="1" s="1"/>
  <c r="Q124" i="1" s="1"/>
  <c r="J142" i="1"/>
  <c r="M142" i="1" s="1"/>
  <c r="Q142" i="1" s="1"/>
  <c r="J150" i="1"/>
  <c r="M150" i="1" s="1"/>
  <c r="Q150" i="1" s="1"/>
  <c r="J89" i="1"/>
  <c r="M89" i="1" s="1"/>
  <c r="Q89" i="1" s="1"/>
  <c r="J152" i="1"/>
  <c r="M152" i="1" s="1"/>
  <c r="Q152" i="1" s="1"/>
  <c r="J75" i="1"/>
  <c r="M75" i="1" s="1"/>
  <c r="Q75" i="1" s="1"/>
  <c r="J99" i="1"/>
  <c r="M99" i="1" s="1"/>
  <c r="Q99" i="1" s="1"/>
  <c r="J77" i="1"/>
  <c r="M77" i="1" s="1"/>
  <c r="Q77" i="1" s="1"/>
  <c r="J101" i="1"/>
  <c r="M101" i="1" s="1"/>
  <c r="Q101" i="1" s="1"/>
  <c r="J93" i="1"/>
  <c r="M93" i="1" s="1"/>
  <c r="Q93" i="1" s="1"/>
  <c r="J95" i="1"/>
  <c r="M95" i="1" s="1"/>
  <c r="Q95" i="1" s="1"/>
  <c r="J81" i="1"/>
  <c r="M81" i="1" s="1"/>
  <c r="Q81" i="1" s="1"/>
  <c r="J112" i="1"/>
  <c r="M112" i="1" s="1"/>
  <c r="Q112" i="1" s="1"/>
  <c r="J83" i="1"/>
  <c r="M83" i="1" s="1"/>
  <c r="Q83" i="1" s="1"/>
  <c r="J114" i="1"/>
  <c r="M114" i="1" s="1"/>
  <c r="Q114" i="1" s="1"/>
  <c r="J87" i="1"/>
  <c r="M87" i="1" s="1"/>
  <c r="Q87" i="1" s="1"/>
  <c r="J61" i="1"/>
  <c r="M61" i="1" s="1"/>
  <c r="Q61" i="1" s="1"/>
  <c r="M5" i="1"/>
  <c r="K372" i="1"/>
  <c r="K470" i="1" s="1"/>
  <c r="K481" i="1" s="1"/>
  <c r="J45" i="1"/>
  <c r="I469" i="1"/>
  <c r="G69" i="1"/>
  <c r="J69" i="1" s="1"/>
  <c r="M69" i="1" s="1"/>
  <c r="Q69" i="1" s="1"/>
  <c r="I372" i="1"/>
  <c r="G6" i="1"/>
  <c r="J6" i="1" s="1"/>
  <c r="M6" i="1" s="1"/>
  <c r="Q6" i="1" s="1"/>
  <c r="G254" i="1"/>
  <c r="J27" i="1"/>
  <c r="M27" i="1" s="1"/>
  <c r="G257" i="1"/>
  <c r="J440" i="1"/>
  <c r="M440" i="1" s="1"/>
  <c r="Q440" i="1" s="1"/>
  <c r="G438" i="1"/>
  <c r="F378" i="1"/>
  <c r="G380" i="1"/>
  <c r="D364" i="1"/>
  <c r="G367" i="1"/>
  <c r="G360" i="1"/>
  <c r="J362" i="1"/>
  <c r="M362" i="1" s="1"/>
  <c r="Q362" i="1" s="1"/>
  <c r="G465" i="1"/>
  <c r="M467" i="1"/>
  <c r="Q467" i="1" s="1"/>
  <c r="F426" i="1"/>
  <c r="G428" i="1"/>
  <c r="G368" i="1"/>
  <c r="J370" i="1"/>
  <c r="M370" i="1" s="1"/>
  <c r="Q370" i="1" s="1"/>
  <c r="G398" i="1"/>
  <c r="J400" i="1"/>
  <c r="M400" i="1" s="1"/>
  <c r="Q400" i="1" s="1"/>
  <c r="M269" i="1"/>
  <c r="Q269" i="1" s="1"/>
  <c r="G396" i="1"/>
  <c r="J396" i="1" s="1"/>
  <c r="G448" i="1"/>
  <c r="J338" i="1"/>
  <c r="M338" i="1" s="1"/>
  <c r="Q338" i="1" s="1"/>
  <c r="G62" i="1"/>
  <c r="J64" i="1"/>
  <c r="M64" i="1" s="1"/>
  <c r="Q64" i="1" s="1"/>
  <c r="J377" i="1"/>
  <c r="M377" i="1" s="1"/>
  <c r="Q377" i="1" s="1"/>
  <c r="G375" i="1"/>
  <c r="G50" i="1"/>
  <c r="J52" i="1"/>
  <c r="M52" i="1" s="1"/>
  <c r="Q52" i="1" s="1"/>
  <c r="J473" i="1"/>
  <c r="M473" i="1" s="1"/>
  <c r="Q473" i="1" s="1"/>
  <c r="G480" i="1"/>
  <c r="G332" i="1"/>
  <c r="G459" i="1"/>
  <c r="J461" i="1"/>
  <c r="M461" i="1" s="1"/>
  <c r="Q461" i="1" s="1"/>
  <c r="G446" i="1"/>
  <c r="J446" i="1" s="1"/>
  <c r="J453" i="1"/>
  <c r="M453" i="1" s="1"/>
  <c r="Q453" i="1" s="1"/>
  <c r="G451" i="1"/>
  <c r="D462" i="1"/>
  <c r="G464" i="1"/>
  <c r="G45" i="1"/>
  <c r="G335" i="1"/>
  <c r="J335" i="1" s="1"/>
  <c r="F368" i="1"/>
  <c r="F267" i="1"/>
  <c r="F444" i="1"/>
  <c r="G388" i="1"/>
  <c r="G275" i="1"/>
  <c r="F383" i="1"/>
  <c r="F451" i="1"/>
  <c r="G404" i="1"/>
  <c r="F276" i="1"/>
  <c r="F364" i="1"/>
  <c r="F24" i="1"/>
  <c r="F45" i="1"/>
  <c r="G311" i="1"/>
  <c r="J311" i="1" s="1"/>
  <c r="M311" i="1" s="1"/>
  <c r="Q311" i="1" s="1"/>
  <c r="G386" i="1"/>
  <c r="F255" i="1"/>
  <c r="G266" i="1"/>
  <c r="J266" i="1" s="1"/>
  <c r="M266" i="1" s="1"/>
  <c r="Q266" i="1" s="1"/>
  <c r="F67" i="1"/>
  <c r="G8" i="1"/>
  <c r="J8" i="1" s="1"/>
  <c r="M8" i="1" s="1"/>
  <c r="Q8" i="1" s="1"/>
  <c r="E21" i="1"/>
  <c r="G359" i="1"/>
  <c r="J359" i="1" s="1"/>
  <c r="M359" i="1" s="1"/>
  <c r="Q359" i="1" s="1"/>
  <c r="F9" i="1"/>
  <c r="F21" i="1" s="1"/>
  <c r="G44" i="1"/>
  <c r="J44" i="1" s="1"/>
  <c r="M44" i="1" s="1"/>
  <c r="Q44" i="1" s="1"/>
  <c r="G12" i="1"/>
  <c r="G432" i="1"/>
  <c r="D402" i="1"/>
  <c r="D24" i="1"/>
  <c r="D383" i="1"/>
  <c r="D333" i="1"/>
  <c r="E469" i="1"/>
  <c r="E372" i="1"/>
  <c r="D9" i="1"/>
  <c r="D255" i="1"/>
  <c r="D444" i="1"/>
  <c r="D394" i="1"/>
  <c r="D276" i="1"/>
  <c r="D50" i="1"/>
  <c r="D58" i="1"/>
  <c r="D67" i="1"/>
  <c r="G485" i="1"/>
  <c r="J485" i="1" s="1"/>
  <c r="G58" i="1" l="1"/>
  <c r="J60" i="1"/>
  <c r="Q5" i="1"/>
  <c r="M9" i="1"/>
  <c r="M24" i="1"/>
  <c r="Q24" i="1" s="1"/>
  <c r="Q27" i="1"/>
  <c r="M398" i="1"/>
  <c r="Q398" i="1" s="1"/>
  <c r="M480" i="1"/>
  <c r="Q480" i="1" s="1"/>
  <c r="M50" i="1"/>
  <c r="Q50" i="1" s="1"/>
  <c r="M58" i="1"/>
  <c r="Q58" i="1" s="1"/>
  <c r="M62" i="1"/>
  <c r="Q62" i="1" s="1"/>
  <c r="M465" i="1"/>
  <c r="Q465" i="1" s="1"/>
  <c r="M459" i="1"/>
  <c r="Q459" i="1" s="1"/>
  <c r="M368" i="1"/>
  <c r="Q368" i="1" s="1"/>
  <c r="M438" i="1"/>
  <c r="Q438" i="1" s="1"/>
  <c r="M375" i="1"/>
  <c r="Q375" i="1" s="1"/>
  <c r="M451" i="1"/>
  <c r="Q451" i="1" s="1"/>
  <c r="M336" i="1"/>
  <c r="Q336" i="1" s="1"/>
  <c r="M360" i="1"/>
  <c r="Q360" i="1" s="1"/>
  <c r="J254" i="1"/>
  <c r="M254" i="1" s="1"/>
  <c r="Q254" i="1" s="1"/>
  <c r="J448" i="1"/>
  <c r="M448" i="1" s="1"/>
  <c r="Q448" i="1" s="1"/>
  <c r="J388" i="1"/>
  <c r="M388" i="1" s="1"/>
  <c r="Q388" i="1" s="1"/>
  <c r="J275" i="1"/>
  <c r="M275" i="1" s="1"/>
  <c r="Q275" i="1" s="1"/>
  <c r="J257" i="1"/>
  <c r="J255" i="1" s="1"/>
  <c r="J332" i="1"/>
  <c r="M332" i="1" s="1"/>
  <c r="Q332" i="1" s="1"/>
  <c r="I470" i="1"/>
  <c r="I481" i="1" s="1"/>
  <c r="J9" i="1"/>
  <c r="J368" i="1"/>
  <c r="J438" i="1"/>
  <c r="J375" i="1"/>
  <c r="J62" i="1"/>
  <c r="J451" i="1"/>
  <c r="J336" i="1"/>
  <c r="J360" i="1"/>
  <c r="J459" i="1"/>
  <c r="J24" i="1"/>
  <c r="J398" i="1"/>
  <c r="J480" i="1"/>
  <c r="J50" i="1"/>
  <c r="J465" i="1"/>
  <c r="G255" i="1"/>
  <c r="G24" i="1"/>
  <c r="G67" i="1"/>
  <c r="G267" i="1"/>
  <c r="G9" i="1"/>
  <c r="G383" i="1"/>
  <c r="J386" i="1"/>
  <c r="M386" i="1" s="1"/>
  <c r="Q386" i="1" s="1"/>
  <c r="M446" i="1"/>
  <c r="Q446" i="1" s="1"/>
  <c r="G444" i="1"/>
  <c r="J428" i="1"/>
  <c r="M428" i="1" s="1"/>
  <c r="Q428" i="1" s="1"/>
  <c r="G426" i="1"/>
  <c r="J432" i="1"/>
  <c r="M432" i="1" s="1"/>
  <c r="Q432" i="1" s="1"/>
  <c r="G430" i="1"/>
  <c r="M335" i="1"/>
  <c r="Q335" i="1" s="1"/>
  <c r="G333" i="1"/>
  <c r="J12" i="1"/>
  <c r="M12" i="1" s="1"/>
  <c r="G20" i="1"/>
  <c r="G402" i="1"/>
  <c r="J404" i="1"/>
  <c r="M404" i="1" s="1"/>
  <c r="Q404" i="1" s="1"/>
  <c r="M396" i="1"/>
  <c r="Q396" i="1" s="1"/>
  <c r="G394" i="1"/>
  <c r="J367" i="1"/>
  <c r="M367" i="1" s="1"/>
  <c r="Q367" i="1" s="1"/>
  <c r="G364" i="1"/>
  <c r="J464" i="1"/>
  <c r="M464" i="1" s="1"/>
  <c r="Q464" i="1" s="1"/>
  <c r="G462" i="1"/>
  <c r="G378" i="1"/>
  <c r="J380" i="1"/>
  <c r="M380" i="1" s="1"/>
  <c r="Q380" i="1" s="1"/>
  <c r="G336" i="1"/>
  <c r="G276" i="1"/>
  <c r="H470" i="1"/>
  <c r="H481" i="1" s="1"/>
  <c r="F469" i="1"/>
  <c r="F372" i="1"/>
  <c r="E470" i="1"/>
  <c r="E481" i="1" s="1"/>
  <c r="D21" i="1"/>
  <c r="D469" i="1"/>
  <c r="D372" i="1"/>
  <c r="C372" i="1"/>
  <c r="C470" i="1" s="1"/>
  <c r="C481" i="1" s="1"/>
  <c r="M60" i="1" l="1"/>
  <c r="Q60" i="1" s="1"/>
  <c r="J58" i="1"/>
  <c r="Q9" i="1"/>
  <c r="M20" i="1"/>
  <c r="Q12" i="1"/>
  <c r="M276" i="1"/>
  <c r="Q276" i="1" s="1"/>
  <c r="J276" i="1"/>
  <c r="M333" i="1"/>
  <c r="Q333" i="1" s="1"/>
  <c r="M364" i="1"/>
  <c r="Q364" i="1" s="1"/>
  <c r="M267" i="1"/>
  <c r="Q267" i="1" s="1"/>
  <c r="M378" i="1"/>
  <c r="Q378" i="1" s="1"/>
  <c r="M462" i="1"/>
  <c r="Q462" i="1" s="1"/>
  <c r="M430" i="1"/>
  <c r="Q430" i="1" s="1"/>
  <c r="M426" i="1"/>
  <c r="Q426" i="1" s="1"/>
  <c r="M67" i="1"/>
  <c r="Q67" i="1" s="1"/>
  <c r="M394" i="1"/>
  <c r="Q394" i="1" s="1"/>
  <c r="M444" i="1"/>
  <c r="Q444" i="1" s="1"/>
  <c r="M402" i="1"/>
  <c r="Q402" i="1" s="1"/>
  <c r="M383" i="1"/>
  <c r="Q383" i="1" s="1"/>
  <c r="J67" i="1"/>
  <c r="J267" i="1"/>
  <c r="M257" i="1"/>
  <c r="Q257" i="1" s="1"/>
  <c r="J402" i="1"/>
  <c r="J383" i="1"/>
  <c r="J20" i="1"/>
  <c r="J378" i="1"/>
  <c r="J333" i="1"/>
  <c r="J462" i="1"/>
  <c r="J430" i="1"/>
  <c r="J364" i="1"/>
  <c r="J426" i="1"/>
  <c r="J394" i="1"/>
  <c r="J444" i="1"/>
  <c r="G469" i="1"/>
  <c r="G372" i="1"/>
  <c r="G21" i="1"/>
  <c r="F470" i="1"/>
  <c r="F481" i="1" s="1"/>
  <c r="D470" i="1"/>
  <c r="D481" i="1" s="1"/>
  <c r="Q20" i="1" l="1"/>
  <c r="M21" i="1"/>
  <c r="Q21" i="1" s="1"/>
  <c r="M255" i="1"/>
  <c r="Q255" i="1" s="1"/>
  <c r="M469" i="1"/>
  <c r="Q469" i="1" s="1"/>
  <c r="J21" i="1"/>
  <c r="J469" i="1"/>
  <c r="J372" i="1"/>
  <c r="G470" i="1"/>
  <c r="G481" i="1" s="1"/>
  <c r="M372" i="1" l="1"/>
  <c r="Q372" i="1" s="1"/>
  <c r="J470" i="1"/>
  <c r="M470" i="1" l="1"/>
  <c r="Q470" i="1" s="1"/>
  <c r="J481" i="1"/>
  <c r="M481" i="1" l="1"/>
  <c r="Q481" i="1" s="1"/>
</calcChain>
</file>

<file path=xl/sharedStrings.xml><?xml version="1.0" encoding="utf-8"?>
<sst xmlns="http://schemas.openxmlformats.org/spreadsheetml/2006/main" count="820" uniqueCount="479">
  <si>
    <t>Závazný ukazatel</t>
  </si>
  <si>
    <t xml:space="preserve">   Časová použitelnost                 dotací a příspěvků                 (od - do)</t>
  </si>
  <si>
    <t>sl. 1</t>
  </si>
  <si>
    <t>sl. 2</t>
  </si>
  <si>
    <t>sl. 3</t>
  </si>
  <si>
    <t>sl. 4</t>
  </si>
  <si>
    <t>sl. 5</t>
  </si>
  <si>
    <t>Příjmy (třída 1 - 4)</t>
  </si>
  <si>
    <t>Daňové příjmy (třída 1)</t>
  </si>
  <si>
    <t>Nedaňové příjmy (třída 2)</t>
  </si>
  <si>
    <t>Kapitálové příjmy (třída 3)</t>
  </si>
  <si>
    <t>Přijaté transfery (třída 4)</t>
  </si>
  <si>
    <t>Příjmy celkem (třída 1 - 4)</t>
  </si>
  <si>
    <t>Financování - příjmy (příjmy třída 8 bez pol. 8117)</t>
  </si>
  <si>
    <t>8115 - Účelový zůstatek minulého roku</t>
  </si>
  <si>
    <t>8115 - Neúčelový zůstatek minulého roku</t>
  </si>
  <si>
    <t>8115 - Čerpání sociálního fondu</t>
  </si>
  <si>
    <t xml:space="preserve">8115 - Čerpání fondu pomoci občanům dotčeným výstavbou komunikace R/48 </t>
  </si>
  <si>
    <t>8115 - Čerpání fondu pomoci občanům dotčeným živelními pohromami</t>
  </si>
  <si>
    <t>8115 - Čerpání fondu obnovy vodovodů a kanalizací</t>
  </si>
  <si>
    <t>8123 - Čerpání úvěru ze SFPI</t>
  </si>
  <si>
    <t>8123 - Čerpání investičního úvěru</t>
  </si>
  <si>
    <t>Financování - příjmy celkem (příjmy třída 8 bez pol. 8117)</t>
  </si>
  <si>
    <t>Celkem zdroje (příjmy + financování)</t>
  </si>
  <si>
    <t>Běžné výdaje (třída 5)</t>
  </si>
  <si>
    <t>Z toho:</t>
  </si>
  <si>
    <r>
      <t>OR</t>
    </r>
    <r>
      <rPr>
        <b/>
        <sz val="10"/>
        <color indexed="8"/>
        <rFont val="Calibri"/>
        <family val="2"/>
        <charset val="238"/>
        <scheme val="minor"/>
      </rPr>
      <t>J 02-Odbor vnitřních věcí</t>
    </r>
  </si>
  <si>
    <t>Výdaje na opravy a udržování</t>
  </si>
  <si>
    <t>Neinvestiční výdaje hrazené ze sociálního fondu</t>
  </si>
  <si>
    <t>Ostatní neinvestiční výdaje odboru vnitřních věcí</t>
  </si>
  <si>
    <t>ORJ 03-Finanční odbor</t>
  </si>
  <si>
    <t>Československá obec legionářská, z. s. - neinvestiční dotace</t>
  </si>
  <si>
    <t>1.1.2024 - 31.12.2024</t>
  </si>
  <si>
    <t>Plánovaná rezerva města</t>
  </si>
  <si>
    <t>Rezerva na odvody a sankce</t>
  </si>
  <si>
    <t>Rezerva na provoz zubní pohotovosti</t>
  </si>
  <si>
    <t>Ostatní neinvestiční výdaje finančního odboru</t>
  </si>
  <si>
    <t>ORJ 04-Odbor správy obecního majetku</t>
  </si>
  <si>
    <t>Ostatní neinvestiční výdaje odboru správy obecního majetku</t>
  </si>
  <si>
    <t>ORJ 05-Živnostenský úřad</t>
  </si>
  <si>
    <t>Sdružení ochrany spotřebitelů Moravy a Slezska - neinvestiční transfer</t>
  </si>
  <si>
    <t>Ostatní neinvestiční výdaje živnostenského úřadu</t>
  </si>
  <si>
    <t>ORJ 06-Odbor ŠKMaT</t>
  </si>
  <si>
    <t>DP Podpora a rozvoj kulturních aktivit ve městě - viz doplňující příloha č. 1</t>
  </si>
  <si>
    <t>viz dopl. příloha č. 1</t>
  </si>
  <si>
    <t>viz dopl. příloha č. 2</t>
  </si>
  <si>
    <t>viz dopl. příloha č. 3</t>
  </si>
  <si>
    <t>MŠ Beruška - na provoz</t>
  </si>
  <si>
    <t>MŠ Pohádka - na provoz</t>
  </si>
  <si>
    <t>ZŠ a MŠ Naděje, F-M, Škarabelova 562 - na provoz MŠ K Hájku</t>
  </si>
  <si>
    <t xml:space="preserve">MŠ Sluníčko - na provoz  </t>
  </si>
  <si>
    <t>MŠ Mateřídouška - na provoz</t>
  </si>
  <si>
    <t>ZŠ a MŠ F-M, Chlebovice - na provoz MŠ Chlebovice</t>
  </si>
  <si>
    <t>ZŠ a MŠ F-M, Skalice - na provoz MŠ Skalice</t>
  </si>
  <si>
    <t>MŠ Sněženka - na provoz</t>
  </si>
  <si>
    <t>ZŠ a MŠ F-M, Lískovec - na provoz MŠ Lískovec</t>
  </si>
  <si>
    <t xml:space="preserve">MŠ Radost - na provoz </t>
  </si>
  <si>
    <t>MŠ Barevný svět - na provoz</t>
  </si>
  <si>
    <t>ZŠ F-M, národního umělce P. Bezruče, tř. TGM 454 - na provoz</t>
  </si>
  <si>
    <t xml:space="preserve">ZŠ F-M, J. Čapka 2555 - na provoz </t>
  </si>
  <si>
    <t xml:space="preserve">ZŠ a MŠ Naděje, F-M, Škarabelova 562 - na provoz ZŠ </t>
  </si>
  <si>
    <t>ZŠ F-M, Komenského 402 - na provoz</t>
  </si>
  <si>
    <t xml:space="preserve">ZŠ F-M, El. Krásnohorské 2254 - na provoz </t>
  </si>
  <si>
    <t>ZŠ F-M, Pionýrů 400 - na provoz</t>
  </si>
  <si>
    <t>ZŠ F-M, 1. máje 1700 - na provoz</t>
  </si>
  <si>
    <t>ZŠ F-M, Československé armády 570 - na provoz</t>
  </si>
  <si>
    <t>ZŠ a MŠ F-M, Lískovec - na provoz ZŠ Lískovec</t>
  </si>
  <si>
    <t>ZŠ a MŠ F-M, Chlebovice - na provoz ZŠ Chlebovice</t>
  </si>
  <si>
    <t>ZŠ F-M, J. z Poděbrad 3109 - na provoz</t>
  </si>
  <si>
    <t>ZŠ a MŠ F-M, Skalice - na provoz ZŠ Skalice</t>
  </si>
  <si>
    <t>Středisko volného času Klíč - na provoz</t>
  </si>
  <si>
    <t>ZUŠ Frýdek-Místek - na provoz</t>
  </si>
  <si>
    <t>Městská knihovna Frýdek-Místek - na provoz</t>
  </si>
  <si>
    <t>Národní dům Frýdek-Místek - na provoz</t>
  </si>
  <si>
    <t>Projekt "Příspěvek na obědy v ZŠ ve FM" - příspěvek s vyúčtováním z toho:- rezerva na obědy žáků s trvalým pobytem na území statutárního města Frýdek-Místek</t>
  </si>
  <si>
    <t>ZŠ Nár. um. P. Bezruče, T.G.M. 454</t>
  </si>
  <si>
    <t>ZŠ Jana Čapka 2555</t>
  </si>
  <si>
    <t>ZŠ Komenského 402</t>
  </si>
  <si>
    <t>ZŠ El. Krásnohorské 2254</t>
  </si>
  <si>
    <t>ZŠ Pionýrů 400</t>
  </si>
  <si>
    <t>ZŠ 1. máje 1700</t>
  </si>
  <si>
    <t>ZŠ Československé armády 570</t>
  </si>
  <si>
    <t>ZŠ J. z Poděbrad 3109</t>
  </si>
  <si>
    <t>ZŠ a MŠ Lískovec</t>
  </si>
  <si>
    <t>ZŠ a MŠ Skalice 192</t>
  </si>
  <si>
    <t>ZŠ a MŠ Naděje</t>
  </si>
  <si>
    <t xml:space="preserve">GOODWILL v. o. š. - Seniorská akademie </t>
  </si>
  <si>
    <t>Paměť národa - POST BELLUM, z.ú.</t>
  </si>
  <si>
    <t>Love production s.r.o. - akce Sweetsen fest</t>
  </si>
  <si>
    <t>Evolution Brothers s.r.o. - akce FM CITY FEST</t>
  </si>
  <si>
    <t>Dětský folklorní soubor Ostravička z.s. - akce Mezinárodní folklorní festival</t>
  </si>
  <si>
    <t>Židovská obec v Ostravě - na opravy židovského hřbitova</t>
  </si>
  <si>
    <t>Římskokatolická farnost Frýdek - na obnovu krypty a dalších prostor baziliky Navštívení ve Frýdku</t>
  </si>
  <si>
    <t>FK Frýdek-Místek z. s. - náklady družstva dospělých fotbalistů</t>
  </si>
  <si>
    <t>Handicap centrum Škola života F-M, o.p.s. - Sportovní olympiáda mentálně postižených</t>
  </si>
  <si>
    <t>Handicap centrum Škola života F-M, o.p.s. - na Zimní hry</t>
  </si>
  <si>
    <t>SKP Frýdek-Místek - náklady družstva dospělých házenkářů</t>
  </si>
  <si>
    <t>TJ Sokol Frýdek-Místek - na náklady družstva dospělých volejbalistek</t>
  </si>
  <si>
    <t>BŠŠ z.s. - na náklady družstva dospělých šachistů a šachistek</t>
  </si>
  <si>
    <t>BŠŠ z. s. - Turnaj šachových nadějí</t>
  </si>
  <si>
    <t>TJ Slezan F-M, z.s. - Hornická destíka</t>
  </si>
  <si>
    <t>TJ Slezan F-M, z.s  - Májové závody</t>
  </si>
  <si>
    <t>SK K2, z. s. - akce F-M sport FEST</t>
  </si>
  <si>
    <t>HC Frýdek-Místek 2015 s. r. o. - náklady družstva dospělých hokejistů</t>
  </si>
  <si>
    <t>Ostatní neinvestiční výdaje odboru ŠKMaT</t>
  </si>
  <si>
    <t>ORJ 07-Odbor dopravy a silničního hospodářství</t>
  </si>
  <si>
    <t>MSK - dopravní obslužnost Česko-Těšínsko</t>
  </si>
  <si>
    <t>MSK - dopravní obslužnost Frýdlantsko</t>
  </si>
  <si>
    <t>MSK - dopravní obslužnost Frýdecko-Místecko</t>
  </si>
  <si>
    <t>MSK - dopravní obslužnost Havířovsko</t>
  </si>
  <si>
    <t>MSK - příspěvek na úhradu protarifovací ztráty v zóně č. 511 (Frýdek, Myslivna)</t>
  </si>
  <si>
    <t>Ostatní neinvestiční výdaje odboru dopravy a silničního hospodářství</t>
  </si>
  <si>
    <t>ORJ 09-Odbor životního prostředí a zemědělství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</si>
  <si>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>neinvestiční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část</t>
    </r>
    <r>
      <rPr>
        <sz val="10"/>
        <color theme="1"/>
        <rFont val="Calibri"/>
        <family val="2"/>
        <charset val="238"/>
        <scheme val="minor"/>
      </rPr>
      <t xml:space="preserve"> - viz doplňující příloha č. 5</t>
    </r>
  </si>
  <si>
    <t>viz dopl. příloha č. 5</t>
  </si>
  <si>
    <t xml:space="preserve">Sdružení vlastníků obecních a soukromých lesů v ČR </t>
  </si>
  <si>
    <t>Spolek pro Faunapark - neinvestiční příspěvek</t>
  </si>
  <si>
    <t xml:space="preserve">Neposedné tlapky, z. s. </t>
  </si>
  <si>
    <t>Ostatní neinvestiční výdaje odboru životního prostředí a zemědělství</t>
  </si>
  <si>
    <t>ORJ 11-Odbor sociálních služeb</t>
  </si>
  <si>
    <t>viz dopl. příloha č. 6</t>
  </si>
  <si>
    <t>viz dopl. příloha č. 9</t>
  </si>
  <si>
    <t>viz dopl. příloha č. 10</t>
  </si>
  <si>
    <t>viz dopl. příloha č. 11</t>
  </si>
  <si>
    <r>
      <t xml:space="preserve">Hospic Frýdek-Místek, p. o. 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Hospicem Frýdek-Místek, p. o. - č. smlouvy 03585/2023/SOC)</t>
    </r>
  </si>
  <si>
    <t>Jesle Frýdek-Místek, p. o. - na provoz</t>
  </si>
  <si>
    <r>
      <t xml:space="preserve">Domov pro seniory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Domovem pro seniory Frýdek-Místek, p. o. - č. smlouvy 03488/2023/SOC)</t>
    </r>
  </si>
  <si>
    <r>
      <t xml:space="preserve">Centrum pečovatelské služby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Centrem pečovatelské služby Frýdek-Místek, p. o. - č. smlouvy 03435/2023/SOC)</t>
    </r>
  </si>
  <si>
    <r>
      <t xml:space="preserve">Penzion pro seniory Frýdek-Místek, p. o. </t>
    </r>
    <r>
      <rPr>
        <i/>
        <sz val="10"/>
        <color indexed="8"/>
        <rFont val="Calibri"/>
        <family val="2"/>
        <charset val="238"/>
        <scheme val="minor"/>
      </rPr>
      <t xml:space="preserve">(přistoupení ke Smlouvě o závazku veřejné služby a vyrovnávací platbě za jeho výkon uzavřené mezi MSK a Penzionem pro seniory Frýdek-Místek, p. o. - č. smlouvy 03592/2023/SOC) </t>
    </r>
  </si>
  <si>
    <r>
      <t xml:space="preserve">ŽIRAFA-Integrované centrum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organizací ŽIRAFA-Integrované centrum Frýdek-Místek, p. o. - č. smlouvy 04214/2023/SOC)</t>
    </r>
  </si>
  <si>
    <t>Asociace poskytovatelů sociálních služeb ČR - členský poplatek</t>
  </si>
  <si>
    <t>Náš svět, p. o., Pržno - středisko Anenská</t>
  </si>
  <si>
    <t>Středisko sociálních služeb Frýdlant n. Ostravicí</t>
  </si>
  <si>
    <t>Medela-péče o seniory, o. p. s.</t>
  </si>
  <si>
    <t>Medela-péče o seniory, o. p. s., Frýdlant n/O</t>
  </si>
  <si>
    <t>Armáda spásy - Domov Přístav Frýdek-Místek</t>
  </si>
  <si>
    <t>Armáda spásy v ČR, z.s. - noclehárna pro muže Ostrava</t>
  </si>
  <si>
    <t>Společně o. p. s. Brno - SeniorPoint</t>
  </si>
  <si>
    <t>Krizové centrum Ostrava</t>
  </si>
  <si>
    <t>Cesta bez bariér</t>
  </si>
  <si>
    <t>Domov sv. Jana Křtitele, s. r. o.</t>
  </si>
  <si>
    <t>ISÚ Komorní Lhotka, p. o.</t>
  </si>
  <si>
    <t>Adámkova vila, Domov se zvlášním režimem, z. ú.</t>
  </si>
  <si>
    <t>Linka bezpečí, z. s.</t>
  </si>
  <si>
    <t>Slezská diakonie, SÁRA F-M - azylový dům pro matky s dětmi</t>
  </si>
  <si>
    <t>Slezská diakonie, SÁRA F-M - azylový dům pro ženy</t>
  </si>
  <si>
    <t>Slezská diakonie, SÁRA F-M - sociální rehabilitace</t>
  </si>
  <si>
    <t>Slezská diakonie, RÚT F-M - sociální rehabilitace</t>
  </si>
  <si>
    <t>Slezská diakonie - projekt "Stravenka F-M"</t>
  </si>
  <si>
    <t>Charita Frýdek-Místek - doučování</t>
  </si>
  <si>
    <t>Charita Frýdek-Místek - Podpora dobrovolnictví</t>
  </si>
  <si>
    <t>Ostatní neinvestiční výdaje odboru sociálních služeb</t>
  </si>
  <si>
    <t>ORJ 12-Investiční odbor</t>
  </si>
  <si>
    <t>Ostatní neinvestiční výdaje investičního odboru</t>
  </si>
  <si>
    <t>ORJ 13-Odbor územního rozvoje a stavebního řádu</t>
  </si>
  <si>
    <t>viz dopl. příloha č. 8</t>
  </si>
  <si>
    <t>viz dopl. příloha č. 7</t>
  </si>
  <si>
    <t>viz dopl. příloha č. 14</t>
  </si>
  <si>
    <t xml:space="preserve">Turistické informační centrum - na provoz </t>
  </si>
  <si>
    <t>Turistické informační centrum - FM plný chutí - příspěvek s vyúčtováním</t>
  </si>
  <si>
    <t>Destinační management turistické oblasti Beskydy - Valašsko, o. p. s. - příspěvek do fondu cestovního ruchu</t>
  </si>
  <si>
    <t>Region Beskydy - neinvestiční dotace</t>
  </si>
  <si>
    <t>Sdružení historických sídel Čech, Moravy a Slezska - členský příspěvek</t>
  </si>
  <si>
    <t>Asociace pro urbanismus - členský příspěvek</t>
  </si>
  <si>
    <t>Svaz měst a obcí ČR - členský příspěvek</t>
  </si>
  <si>
    <t>Partnerství pro městskou mobilitu - členský příspěvek</t>
  </si>
  <si>
    <t>Rezerva na Program DARUJ F≈M</t>
  </si>
  <si>
    <t>Ostatní neinvestiční výdaje odboru územního rozvoje a stavebního řádu</t>
  </si>
  <si>
    <t>ORJ 16-Městská policie</t>
  </si>
  <si>
    <t>Ostatní neinvestiční výdaje Městské policie</t>
  </si>
  <si>
    <t>ORJ 17-Odbor informačních technologií</t>
  </si>
  <si>
    <t>Ostatní neinvestiční výdaje odboru informačních technologií</t>
  </si>
  <si>
    <t>ORJ 18-Odbor bezpečnostních rizik a prevence kriminality</t>
  </si>
  <si>
    <t>Ostatní neinvestiční výdaje odboru bezpečnostních rizik a prevence kriminality</t>
  </si>
  <si>
    <t>Běžné výdaje celkem (třída 5)</t>
  </si>
  <si>
    <t>Kapitálové výdaje (třída 6)</t>
  </si>
  <si>
    <t>ORJ 02-Odbor vnitřních věcí</t>
  </si>
  <si>
    <t>Výdaje na investiční akce</t>
  </si>
  <si>
    <t>Kapitálové výdaje hrazené ze sociálního fondu</t>
  </si>
  <si>
    <t>Ostatní kapitálové výdaje odboru vnitřních věcí</t>
  </si>
  <si>
    <t>Rezerva na požadavky Osadního výboru Chlebovice</t>
  </si>
  <si>
    <t>Rezerva na požadavky Osadního výboru Lískovec</t>
  </si>
  <si>
    <t>Rezerva na požadavky Osadního výboru Zelinkovice-Lysůvky</t>
  </si>
  <si>
    <t>Rezerva na požadavky Osadního výboru Skalice</t>
  </si>
  <si>
    <t>Rezerva na požadavky Osadního výboru Panské Nové Dvory</t>
  </si>
  <si>
    <t>Rezerva na městské investice - v oblasti bytového a nebytového fondu města</t>
  </si>
  <si>
    <t>Rezerva na městské investice - investiční akce ze zásobníku ORJ 12-IO</t>
  </si>
  <si>
    <t>Ostatní kapitálové výdaje finančního odboru</t>
  </si>
  <si>
    <t>Ostatní kapitálové výdaje odboru správy obecního majetku</t>
  </si>
  <si>
    <t>Ostatní kapitálové výdaje živnostenského úřadu</t>
  </si>
  <si>
    <t>Ostatní kapitálové výdaje odboru ŠKMaT</t>
  </si>
  <si>
    <t>Ostatní kapitálové výdaje odboru dopravy a silničního hospodářství</t>
  </si>
  <si>
    <t>Investiční výdaje hrazené z Fondu obnovy vodovodu a kanalizací - Rekonstrukce stoky - ul. Bruzovská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</si>
  <si>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 xml:space="preserve">investiční část </t>
    </r>
    <r>
      <rPr>
        <sz val="10"/>
        <color theme="1"/>
        <rFont val="Calibri"/>
        <family val="2"/>
        <charset val="238"/>
        <scheme val="minor"/>
      </rPr>
      <t>- viz doplňující příloha č. 5</t>
    </r>
  </si>
  <si>
    <t>Individuální dotace vlastníkům vodovodu ul. J. Mahena</t>
  </si>
  <si>
    <t>Ostatní kapitálové výdaje odboru životního prostředí a zemědělství</t>
  </si>
  <si>
    <t xml:space="preserve">Nemocnice ve Frýdku-Místku, p. o. - Smlouva o spolupráci </t>
  </si>
  <si>
    <t>Ostatní kapitálové výdaje odboru sociálních služeb</t>
  </si>
  <si>
    <t>Rezerva na realizaci akcí vybraných z participativního rozpočtu</t>
  </si>
  <si>
    <t>Rezerva na investice</t>
  </si>
  <si>
    <t>Ostatní kapitálové výdaje investičního odboru</t>
  </si>
  <si>
    <t>viz dopl. příloha č. 12</t>
  </si>
  <si>
    <t>Rezerva na spolufinancování dotací</t>
  </si>
  <si>
    <t>Investiční dotace obci Baška na akci "První úsek cyklostezky Frýdek-Místek - Baška, lávka u železniční stanice"</t>
  </si>
  <si>
    <t>Ostatní kapitálové výdaje odboru územního rozvoje a stavebního řádu</t>
  </si>
  <si>
    <t>HZS Moravskoslezský kraj - investiční dotace na rekonstrukci budov hasičské stanice ve Frýdku-Místku</t>
  </si>
  <si>
    <t>Kapitálové výdaje celkem (třída 6)</t>
  </si>
  <si>
    <t>Výdaje celkem (třída 5 - 6)</t>
  </si>
  <si>
    <t>Financování - výdaje (výdaje třída 8 bez pol. 8118)</t>
  </si>
  <si>
    <t>8115 - Sociální fond</t>
  </si>
  <si>
    <t>8115 - Fond pomoci občanům dotčených výstavbou komunikace R/48</t>
  </si>
  <si>
    <t>8115 - Fond pomoci občanům dotčeným živelními pohromami</t>
  </si>
  <si>
    <t>8115 - Fond obnovy vodovodů a kanalizací</t>
  </si>
  <si>
    <t xml:space="preserve">8115 - Účelový zůstatek k 31. 12. </t>
  </si>
  <si>
    <t>8115 - Neúčelový zůstatek k 31. 12.</t>
  </si>
  <si>
    <t>8124 - Splátky úvěrů</t>
  </si>
  <si>
    <t>Financování - výdaje celkem (výdaje třída 8 bez pol. 8118)</t>
  </si>
  <si>
    <t>Celkem potřeby (výdaje + financování)</t>
  </si>
  <si>
    <t>Financování - aktivní krátkodobé operace řízení likvidity (pol. 8117 a 8118)</t>
  </si>
  <si>
    <t>8117/8118 - Aktivní krátkodobé operace řízení likvidity</t>
  </si>
  <si>
    <t>Financování - aktivní krátkodobé operace řízení likvidity celkem (pol. 8117 a 8118)</t>
  </si>
  <si>
    <t>Transdev Slezsko, a.s. - provoz MHD</t>
  </si>
  <si>
    <t>Transdev Slezsko, a.s. - provoz MHD - ÚZ 161</t>
  </si>
  <si>
    <t>Hospic Frýdek-Místek, p. o. - ÚZ 00914</t>
  </si>
  <si>
    <t>Penzion pro seniory Frýdek-Místek, p. o. - ÚZ 00914</t>
  </si>
  <si>
    <t>Centrum pečovatelské služby Frýdek-Místek, p. o. - ÚZ 00914</t>
  </si>
  <si>
    <t>Domov pro seniory Frýdek-Místek, p. o. - ÚZ 00914</t>
  </si>
  <si>
    <t>ŽIRAFA - Integrované centrum Frýdek-Místek, p. o. - ÚZ 00914</t>
  </si>
  <si>
    <t>1.1.2025 - 31.12.2025</t>
  </si>
  <si>
    <t>DP Podpora a rozvoj mládežnického sportu ve městě - viz doplňující příloha č. 2</t>
  </si>
  <si>
    <t>DP Podpora výchovy, vzdělávání a zájmových aktivit - viz doplňující příloha č. 3</t>
  </si>
  <si>
    <t>MAS Pobeskydí, z.s.- F-M ve 3D realitě - sdílení zkušeností</t>
  </si>
  <si>
    <t>Zimní olympiáda dětí a mládeže 2025</t>
  </si>
  <si>
    <t xml:space="preserve">Nemocnice ve F-M, p.o. - na náklady spojené s proškolením žáků ZŠ na KPR </t>
  </si>
  <si>
    <t>Nemocnice ve F-M, p.o. - na náklady spojené s projektem Nebojme se zubaře pro žáky ZŠ</t>
  </si>
  <si>
    <t>Program Podpora výsadby dřevin - viz doplňující příloha č. 4</t>
  </si>
  <si>
    <t>viz dopl. příloha č. 4</t>
  </si>
  <si>
    <t>Neinvestiční výdaje hrazené z Fondu pomoci občanům dotčeným výstavbou komunikace R/48 - viz doplňující příloha č. 14</t>
  </si>
  <si>
    <r>
      <t>DP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Prevence kriminality a protidrogová politika - viz doplňující příloha č. 7</t>
    </r>
  </si>
  <si>
    <t>DP Podpora a rozvoj sociálních služeb ve městě - viz doplňující příloha č. 8</t>
  </si>
  <si>
    <t>DP Podpora a rozvoj činností v oblasti rodinné politiky - viz doplňující příloha č. 9</t>
  </si>
  <si>
    <t>DP Podpora a rozvoj ostatních aktivit navazujících na sociální služby - viz doplňující příloha č. 10</t>
  </si>
  <si>
    <t>DP Regenerace města Frýdku-Místku - viz doplňující příloha č. 11</t>
  </si>
  <si>
    <t>DP Regenerace objektů s historickou nebo historizující fasádou na území města Frýdek-Místek - viz doplňující příloha č. 12</t>
  </si>
  <si>
    <t>DP Reklama F-M - podpora zřízení či obnovy označení provozoven - viz doplňující příloha č. 13</t>
  </si>
  <si>
    <t>viz dopl. příloha č. 13</t>
  </si>
  <si>
    <t>DP Podpora napojení na vodohospodářskou infrastrukturu města - viz doplňující příloha č. 6</t>
  </si>
  <si>
    <t>1.1.2025 - 30.11.2025</t>
  </si>
  <si>
    <t>Svazek obcí Olešná (dříve pod názvem Dobrovolný svazek obcí Olešná) - členský příspěvek</t>
  </si>
  <si>
    <t>Projekt Nordic walking - ÚZ 00801</t>
  </si>
  <si>
    <t>Individuální dotace na úpravu veřejného prostranství ul. 8. pěsího pluku</t>
  </si>
  <si>
    <t>1.1.2025 - 31.10.2025</t>
  </si>
  <si>
    <t>1.1.2025 - 30.6.2026</t>
  </si>
  <si>
    <t>Společnost pro symfonickou a komorní hudbu ve F-M, z.s. - akce a koncerty na území města F-M</t>
  </si>
  <si>
    <t>1.9.2024 - 31.12.2025</t>
  </si>
  <si>
    <t>1.1.2025 - 12.12.2025</t>
  </si>
  <si>
    <t>1.1.2025 - 15.12.2025</t>
  </si>
  <si>
    <t>Schválený                rozpočet                    na rok 2025                                (v tis. Kč)</t>
  </si>
  <si>
    <t>ZŠ a MŠ Chlebovice</t>
  </si>
  <si>
    <t>ZO ČSOP Nový Jičín 70/02 - záchrana volně žijících živočichů</t>
  </si>
  <si>
    <t>SH ČMS - Sbor dobrovolných hasičů Skalice - akce Skalický kopec</t>
  </si>
  <si>
    <t>1.1.2025 - 30.4.2025</t>
  </si>
  <si>
    <t>Sokolík FM z.s. - "Turistický pochod Lískovecká 10"</t>
  </si>
  <si>
    <t>Sokolík FM z.s. - "Fotbalový turnaj Liga Sokolíka 2025"</t>
  </si>
  <si>
    <t>Sokolík FM z.s. - "Nohejbalový turnaj Sokolíka 2025"</t>
  </si>
  <si>
    <t>TJ Slezská - 2. ZŠ FM - "44. vánoční turnaj ve stolním tenise"</t>
  </si>
  <si>
    <t>Sportovní klub orientačního běhu FM z.s. - "Podzimní krajský žebříček v denním oreintačním běhu"</t>
  </si>
  <si>
    <t>Sportovní klub orientačního běhu FM z.s. -"Jarní krajský žebříček v denním orientačním běhu"</t>
  </si>
  <si>
    <t>SH ČMS - Okresní sdružení hasičů FM - "Závod hasičské všestrannosti a brannosti"</t>
  </si>
  <si>
    <t>Zdravotní klaun - na pravidelné klauniády v Nemocnici ve F-M</t>
  </si>
  <si>
    <t>1.1.2025 - 30.6.2025</t>
  </si>
  <si>
    <t>Podané ruce, z. s. - zabezpečení konference k příležitosti 25. výročí organizace - Den vděčnosti</t>
  </si>
  <si>
    <t>1.1.2025 - 31.7.2025</t>
  </si>
  <si>
    <r>
      <t>MUDr. Ivana R</t>
    </r>
    <r>
      <rPr>
        <sz val="10"/>
        <color theme="1"/>
        <rFont val="Tahoma"/>
        <family val="2"/>
        <charset val="238"/>
      </rPr>
      <t>ö</t>
    </r>
    <r>
      <rPr>
        <sz val="11"/>
        <color theme="1"/>
        <rFont val="Calibri"/>
        <family val="2"/>
        <charset val="238"/>
      </rPr>
      <t>schlová - akce Beskydský pediatrický den 2025</t>
    </r>
  </si>
  <si>
    <t>1.1.2025 - 30.5.2025</t>
  </si>
  <si>
    <r>
      <t xml:space="preserve">MŠ Barevný svět FM, Slezská 770 -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Bavlnářská 455")</t>
    </r>
  </si>
  <si>
    <r>
      <t xml:space="preserve">ZŠ a MŠ Lískovec F-M, K Sedlištím 320 - příspěvek poskytnutý ex post - na provoz ZŠ </t>
    </r>
    <r>
      <rPr>
        <i/>
        <sz val="10"/>
        <color theme="1"/>
        <rFont val="Calibri"/>
        <family val="2"/>
        <charset val="238"/>
        <scheme val="minor"/>
      </rPr>
      <t>(na projekt "Přírodní zahrada ZŠ Lískovec")</t>
    </r>
  </si>
  <si>
    <r>
      <t xml:space="preserve">ZŠ a MŠ Lískovec F-M, K Sedlištím 320 - příspěvek poskytnutý ex post - na provoz ZŠ </t>
    </r>
    <r>
      <rPr>
        <i/>
        <sz val="10"/>
        <color theme="1"/>
        <rFont val="Calibri"/>
        <family val="2"/>
        <charset val="238"/>
        <scheme val="minor"/>
      </rPr>
      <t>(na projekt IROP "Modernizace odborných učeben")</t>
    </r>
  </si>
  <si>
    <t>Finanční dar na veřejnou sbírku "DARUJ F≈M - vybavení pro Neposedné tlapky"</t>
  </si>
  <si>
    <r>
      <t xml:space="preserve">MŠ Barevný svět FM, Slezská 770 -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Bavlnářská 455")</t>
    </r>
  </si>
  <si>
    <t>MŠ Sněženka - investiční transfer na vybudování nových výpustí a připojení bazénku - s vyúčtováním</t>
  </si>
  <si>
    <t>ZŠ F-M, národního umělce P. Bezruče, tř. TGM 454 - investiční transfer na zařízení odborné učebny chemie - s vyúčtováním</t>
  </si>
  <si>
    <t>ZŠ F-M, Pionýrů 400 - investiční transfer na obnovu technologie ve školní kuchyni - s vyúčtováním</t>
  </si>
  <si>
    <t>ZŠ a MŠ F-M, Chlebovice - investiční transfer MŠ na vybavení zahrady herními prvky - s vyúčtováním</t>
  </si>
  <si>
    <t>ZŠ F-M, El. Krásnohorské 2254 - investiční transfer na ICT - s vyúčtováním</t>
  </si>
  <si>
    <r>
      <t xml:space="preserve">ZŠ a MŠ Lískovec F-M, K Sedlištím 320 - investiční transfer poskytnutý ex post ZŠ - bez vyúčtování </t>
    </r>
    <r>
      <rPr>
        <i/>
        <sz val="10"/>
        <color theme="1"/>
        <rFont val="Calibri"/>
        <family val="2"/>
        <charset val="238"/>
        <scheme val="minor"/>
      </rPr>
      <t>(na projekt IROP "Modernizace odborných učeben")</t>
    </r>
  </si>
  <si>
    <t>Středisko volného času Klíč - investiční transfer na pořízení služebního auta - s vyúčtováním</t>
  </si>
  <si>
    <t>ŽIRAFA - Integrované centrum Frýdek-Místek, p. o. - investiční transfer na nákup 4 XL bike boxu - s vyúčtováním</t>
  </si>
  <si>
    <t>Finanční dar na veřejnou sbírku "DARUJ F≈M - Vozidlo pro bezbariérovou přepravu"</t>
  </si>
  <si>
    <t>sl. 6</t>
  </si>
  <si>
    <t>SH ČMS - Sbor dobrovolných hasičů Lískovec - akce Ples SDH Lískovec</t>
  </si>
  <si>
    <t>Tenisový klub TENNISPOINT ve Frýdku-Místku - zabezpečení tenisových turnajů kategorie A - dorostenci: Pohár primátora města Frýdku-Místku 2025 a mladší žáci: Štít města Frýdku-Místku 2025</t>
  </si>
  <si>
    <t>Rozpočtová opatření RM       č. 1 - 29                  (v tis. Kč)</t>
  </si>
  <si>
    <t>1. změna rozpočtu                    (v tis. Kč)</t>
  </si>
  <si>
    <t>Way of Warrior z. s. - turnaj Mistrovství Evropy Combat ju jitsu</t>
  </si>
  <si>
    <t>Beskydská volejbalová liga amatérů, z.s. - 16. ročník "Region Beskydy" volejbalové ligy</t>
  </si>
  <si>
    <t>1.1.2025 - 31.5.2025</t>
  </si>
  <si>
    <t>ZŠ a MŠ F-M, Lískovec - ÚZ 17519</t>
  </si>
  <si>
    <t>ZŠ a MŠ F-M, Lískovec - ÚZ 17518</t>
  </si>
  <si>
    <t>ZŠ F-M, Pionýrů 400 - ÚZ 17519</t>
  </si>
  <si>
    <t>ZŠ F-M, Pionýrů 400 - ÚZ 17518</t>
  </si>
  <si>
    <t>Farní sbor českobratrské církve evangelické ve Frýdku-Místku - na opravu fasády kostela</t>
  </si>
  <si>
    <t>1.10.2024 - 30.9.2026</t>
  </si>
  <si>
    <t>MŠ Pohádka - ÚZ 33092</t>
  </si>
  <si>
    <t>1.1.2025 - 31.12.2026</t>
  </si>
  <si>
    <t>ZŠ a MŠ F-M, Lískovec - ÚZ 17085</t>
  </si>
  <si>
    <t>ZŠ a MŠ F-M, Lískovec - ÚZ 17084</t>
  </si>
  <si>
    <t>ZŠ F-M, Pionýrů 400 - ÚZ 17085</t>
  </si>
  <si>
    <t>ZŠ F-M, Pionýrů 400 - ÚZ 17084</t>
  </si>
  <si>
    <t>ProJantar s.r.o. - zabezpečení Galavečeru předávání Cen Jantar 2024</t>
  </si>
  <si>
    <t>SH ČMS - Sbor dobrovolných hasičů Skalice - účast družstva žen na závodech v klasických disciplínách CTIF</t>
  </si>
  <si>
    <t>MŠ Radost - ÚZ 33092</t>
  </si>
  <si>
    <t>MŠ Beruška - ÚZ 33092</t>
  </si>
  <si>
    <t>1.9.2024 - 31.8.2026</t>
  </si>
  <si>
    <t>MŠ Mateřídouška - ÚZ 33092</t>
  </si>
  <si>
    <t>MŠ Barevný svět - ÚZ 33092</t>
  </si>
  <si>
    <t>ZŠ F-M, J. Čapka 2555 - ÚZ 33092</t>
  </si>
  <si>
    <t>1.2.2025 - 31.1.2027</t>
  </si>
  <si>
    <t>MŠ Sluníčko - ÚZ 33092</t>
  </si>
  <si>
    <t>1.12.2024 - 31.12.2026</t>
  </si>
  <si>
    <t>ZŠ F-M, Pionýrů 400 - ÚZ 33092</t>
  </si>
  <si>
    <t>MŠ Sluníčko - ÚZ 00911</t>
  </si>
  <si>
    <t>1.2.2024 - 30.6.2025</t>
  </si>
  <si>
    <t>MŠ Sluníčko - ÚZ 00253</t>
  </si>
  <si>
    <t>MŠ Sněženka - ÚZ 00911</t>
  </si>
  <si>
    <t>2.9.2024 - 30.6.2025</t>
  </si>
  <si>
    <t>MŠ Sněženka - ÚZ 00253</t>
  </si>
  <si>
    <t>MŠ Radost - ÚZ 00911</t>
  </si>
  <si>
    <t>MŠ Radost - ÚZ 00253</t>
  </si>
  <si>
    <t>ZŠ F-M, El. Krásnohorské 2254 - ÚZ 00911</t>
  </si>
  <si>
    <t>ZŠ F-M, El. Krásnohorské 2254 - ÚZ 00253</t>
  </si>
  <si>
    <t>MŠ Mateřídouška - ÚZ 00911</t>
  </si>
  <si>
    <t>MŠ Mateřídouška - ÚZ 00253</t>
  </si>
  <si>
    <t>ZŠ a MŠ F-M, Chlebovice - na provoz MŠ Chlebovice - ÚZ 33092</t>
  </si>
  <si>
    <t>ZŠ a MŠ F-M, Chlebovice - na provoz ZŠ Chlebovice - ÚZ 33092</t>
  </si>
  <si>
    <t>TRDLA - divadelní společnost absolutních neherců, z. s. - projekt KLAUNOSANATORIUM</t>
  </si>
  <si>
    <t>Nadační fond Pavla Novotného - na činnost dobrovolníků a na projekt "Dny urologické prevence"</t>
  </si>
  <si>
    <t>Svaz postižených civilizačními chorobami v ČR, z. s., okresní organizace F-M - na celoroční činnost spolku</t>
  </si>
  <si>
    <t>Jsem jedno ucho, z. s. - na besedy "Jsem jedno ucho pro ZŠ a SŠ"</t>
  </si>
  <si>
    <t>Ostatní neinvestiční výdaje odboru právního a organizačního</t>
  </si>
  <si>
    <t>Navínko s.r.o. - zabezpečení akce Frýdek-Místek žije vínem 2025</t>
  </si>
  <si>
    <t>Sjednocená organizace nevidomých a slabozrakých ČR, z.s. - Festival Dny umění nevidomých 2025</t>
  </si>
  <si>
    <t>ZŠ F-M, El. Krásnohorské 2254 - ÚZ 33092</t>
  </si>
  <si>
    <t>1.2.2025 - 30.6.2027</t>
  </si>
  <si>
    <t>ZŠ F-M, Československé armády 570 - ÚZ 33092</t>
  </si>
  <si>
    <t>MŠ Pohádka - ÚZ 00911</t>
  </si>
  <si>
    <t>MŠ Pohádka - ÚZ 00253</t>
  </si>
  <si>
    <t>ZŠ a MŠ Naděje, F-M, Škarabelova 562 - na provoz MŠ K Hájku - ÚZ 00911</t>
  </si>
  <si>
    <t>ZŠ a MŠ Naděje, F-M, Škarabelova 562 - na provoz ZŠ - ÚZ 00911</t>
  </si>
  <si>
    <t>ZŠ a MŠ Naděje, F-M, Škarabelova 562 - na provoz MŠ K Hájku - ÚZ 00253</t>
  </si>
  <si>
    <t>MŠ Beruška - ÚZ 00911</t>
  </si>
  <si>
    <t>MŠ Beruška - ÚZ 00253</t>
  </si>
  <si>
    <t>ZŠ F-M, El. Krásnohorské 2254 - ÚZ 33093</t>
  </si>
  <si>
    <t>Městská knihovna frýdek-Místek - ÚZ 00345</t>
  </si>
  <si>
    <t>Nemocnice ve F-M, p. o. - Den zdraví</t>
  </si>
  <si>
    <t>SH ČMS - Sbor dobrovolných hasičů Chlebovice - zabezpečení akce Dětský den s hasiči</t>
  </si>
  <si>
    <t>Český svaz chovatelů, z.s., Základní organizace Místek 1 - zabezpečení Výstavy holubů okrasných a strukturovaných plemen, drůbeže a králíků</t>
  </si>
  <si>
    <t>1.1.2025 - 5.12.2025</t>
  </si>
  <si>
    <t>CANNONEERS, z.s. - zabezpečení akce První výstřel 2025</t>
  </si>
  <si>
    <t>Rozpočtová opatření RM       č. 30 - 70                  (v tis. Kč)</t>
  </si>
  <si>
    <t>1.1.2025 - 13.12.2025</t>
  </si>
  <si>
    <t>1.1.2025 - 28.2.2026</t>
  </si>
  <si>
    <t>Sportplex Frýdek-Místek, s.r.o. - investiční dotace</t>
  </si>
  <si>
    <t>MŠ Radost - investiční transfer na rekonstrukci vodoinstalace na MŠ Anenská 656 - s vyúčtováním</t>
  </si>
  <si>
    <t>MŠ Pohádka - investiční transfer na výměnu nákladních výtahů na budově MŠ Třanovského 404 - s vyúčtováním</t>
  </si>
  <si>
    <t>ZŠ F-M, 1. máje 1700 - investiční transfer na pořízení vybavení sportovní haly - s vyúčtováním</t>
  </si>
  <si>
    <t>1.1.2023 - 31.12.2025</t>
  </si>
  <si>
    <t xml:space="preserve">ORJ 01-Odbor právní a organizační </t>
  </si>
  <si>
    <t>Ostatní kapitálové výdaje odboru právního a organizačního</t>
  </si>
  <si>
    <t>Sportplex Frýdek-Místek, s.r.o. - neinvestiční dotace</t>
  </si>
  <si>
    <t>ZŠ a MŠ Naděje, F-M, Škarabelova 562 - na provoz ZŠ - ÚZ 00253</t>
  </si>
  <si>
    <t>Rozpočet roku 2025            po 1. změně a po rozpočtových opatřeních RM                 č. 1 - 79                                (v tis. Kč)</t>
  </si>
  <si>
    <t>2. změna rozpočtu                         (v tis. Kč)</t>
  </si>
  <si>
    <t>Asociace malých debrujárů České republiky, spolek - akce "EXPO SCIENCE INTERNATIONAL - EST, Abu, Dhabi, SAE"</t>
  </si>
  <si>
    <t>1.1.2025 - 8.12.2025</t>
  </si>
  <si>
    <t>Středisko volného času Klíč - ÚZ 00833</t>
  </si>
  <si>
    <t>1.1.2025 - 20.1.2026</t>
  </si>
  <si>
    <t>TJ Sokol - oddíl Funky Beat - "EUROPEAN CHAMPIONS 2025"</t>
  </si>
  <si>
    <t>BK Frýdek-Místek z.s. - "Streetball na náměstí 2025"</t>
  </si>
  <si>
    <t>Jo Tenisové tréninkové centrum z.s. - "Mezinárodní tenisový turnaj ITF"</t>
  </si>
  <si>
    <t>Městská knihovna Frýdek-Místek - neinvestiční dotace na realizaci projektu "Vybavení multifunkční učebny ústřední knihovny Frýdek-Místek" - MK VISK 3 - ÚZ 34053</t>
  </si>
  <si>
    <t>Fbc Frýdek-Místek z.s. - "Prague Games 2025"</t>
  </si>
  <si>
    <t>Sportovní klub policie FM z.s. - "Výměnný pobyt s mezinárodní účastí na turnaji XI. "Už nikdy válku, už nikdy nacismus, už niky holocaust!"</t>
  </si>
  <si>
    <t>Modrý kříž v ČR - projekt "Zkus to s námi 2.0"</t>
  </si>
  <si>
    <t>1.7.2025 - 31.12.2025</t>
  </si>
  <si>
    <t>Slezská diakonie - BETHEL - "Teplá židle"</t>
  </si>
  <si>
    <t>Slezská diakonie - SÁRA - "Teplá židle"</t>
  </si>
  <si>
    <t>Domestici pro pomoc druhým, z. s. - projekt "8 dní pro paliativu"</t>
  </si>
  <si>
    <t>Turistické informační centrum Frýdek-Místek, p. o. - ÚZ 00675</t>
  </si>
  <si>
    <t>Basketpoint Frýdek-Místek z. s. - na náklady spojené s účastí a spolupořadatelstvím v seriálu mezinárodních turnajů CEYBL</t>
  </si>
  <si>
    <t>Armáda spásy v ČR, z. s. - prevence bezdomovectví</t>
  </si>
  <si>
    <t>Turistické informační centrum Frýdek-Místek, p. o. - ÚZ 00695</t>
  </si>
  <si>
    <t>Rozpočtová opatření RM       č. 80 - 108                   (v tis. Kč)</t>
  </si>
  <si>
    <t>Český svaz házené, z. s. - pořádání Kvalifinačního utkání mužů o ME 2026</t>
  </si>
  <si>
    <r>
      <t xml:space="preserve">ZŠ F-M, Pionýrů 400 - investiční transfer poskytnutý ex post - na provoz ZŠ </t>
    </r>
    <r>
      <rPr>
        <i/>
        <sz val="10"/>
        <color theme="1"/>
        <rFont val="Calibri"/>
        <family val="2"/>
        <charset val="238"/>
        <scheme val="minor"/>
      </rPr>
      <t>(na projekt IROP "Šikulové z F-M")</t>
    </r>
  </si>
  <si>
    <t>ZŠ a MŠ F-M, Chlebovice - investiční transfer MŠ na pořízení protipožárních dveří a protipožárních ocelových zárubní v MŠ - s vyúčtováním</t>
  </si>
  <si>
    <t>ZŠ F-M, Pionýrů 400 - na opravu střechy sportovní haly - s vyúčtováním</t>
  </si>
  <si>
    <r>
      <t xml:space="preserve">ZŠ F-M, Pionýrů 400 - příspěvek poskytnutý ex post - na provoz ZŠ - </t>
    </r>
    <r>
      <rPr>
        <i/>
        <sz val="10"/>
        <color theme="1"/>
        <rFont val="Calibri"/>
        <family val="2"/>
        <charset val="238"/>
        <scheme val="minor"/>
      </rPr>
      <t>na projekt IROP "Šikulové z F-M")</t>
    </r>
  </si>
  <si>
    <t>1.1.2025 - 27.6.2025</t>
  </si>
  <si>
    <t>Rozpočet roku 2025 po 2. změně a po rozpočtových opatřeních RM                  č. 1 - 121                               (v tis. Kč)</t>
  </si>
  <si>
    <t>3. změna rozpočtu                         (v tis. Kč)</t>
  </si>
  <si>
    <t>sl. 7</t>
  </si>
  <si>
    <t>ZUŠ Frýdek-Místek - ÚZ 33092</t>
  </si>
  <si>
    <t>1.9.2025 - 31.8.2027</t>
  </si>
  <si>
    <t>ZŠ F-M, J. z Poděbrad 3109 - ÚZ 33092</t>
  </si>
  <si>
    <t>ZŠ a MŠ F-M, Skalice - na provoz MŠ Skalice - ÚZ 33092</t>
  </si>
  <si>
    <t>ČMELÁČEK, z. s. - úhrada provozních nákladů</t>
  </si>
  <si>
    <t>MENS SANA, z. ú. - výtvarná aukce pro dobročinné účely</t>
  </si>
  <si>
    <t>Zachování a obnova kulturních památek: Společenství vlastníků jednotek domu 24, F-M - obnova domu č.p. 24, Zámecké náměstí,          F-M - ÚZ 34054</t>
  </si>
  <si>
    <t>Zachování a obnova kulturních památek: Ing. Jiří Baštinský, Klečkova 1101/12, Ostrava - obnova městského domu č.p. 41, Zámecké náměstí, F-M - ÚZ 34054</t>
  </si>
  <si>
    <t>Zachování a obnova kulturních památek: Ing. Lukáš Kačmařík, Na Maninách 1590/29, Praha - obnova městského domu č.p. 1245, ul. Radniční, F-M - ÚZ 34054</t>
  </si>
  <si>
    <t>Zachování a obnova kulturních památek: Ing. Petr Lanča a Ing. Miroslava Lančová, Nové Dvory - Vršavec 3240, F-M - obnova městského domu č.p. 1251, Zámecké náměstí, F-M - ÚZ 34054</t>
  </si>
  <si>
    <t>ZŠ a MŠ Skalice - na provoz ZŠ Skalice - ÚZ 33092</t>
  </si>
  <si>
    <t>ZŠ a MŠ F-M, Lískovec - na provoz MŠ Lískovec - ÚZ 33092</t>
  </si>
  <si>
    <t>ZŠ a MŠ F-M, Lískovec - na provoz ZŠ Lískovec - ÚZ 33092</t>
  </si>
  <si>
    <t>Středisko volného času Klíč - ÚZ 00910</t>
  </si>
  <si>
    <t>1.1.2025 - 15.1.2026</t>
  </si>
  <si>
    <t>ZŠ F-M, 1. máje 1700 - ÚZ 00333</t>
  </si>
  <si>
    <t>1.9.2025 - 30.6.2026</t>
  </si>
  <si>
    <t>1.9.2025 - 30.7.2026</t>
  </si>
  <si>
    <t>ZŠ F-M, J. Čapka 2555- ÚZ 00333</t>
  </si>
  <si>
    <t>Svarog Fight Night s.r.o. - na akci "Svarog Fight Night 2025"</t>
  </si>
  <si>
    <t>ADRA, o.p.s. - poděkování dobrovolníkům</t>
  </si>
  <si>
    <t>Slezská diakonie - dofinancování výdejny</t>
  </si>
  <si>
    <t>Slezská diakonie - šipkový turnaj</t>
  </si>
  <si>
    <t>ZŠ a MŠ Naděje, F-M, Škarabelova 562 - na provoz MŠ K Hájku - ÚZ 33092</t>
  </si>
  <si>
    <t>ZŠ F-M, J. z Poděbrad 3109 - ÚZ 00911</t>
  </si>
  <si>
    <t>ZŠ F-M, J. z Poděbrad 3109 - ÚZ 00253</t>
  </si>
  <si>
    <t>ZŠ a MŠ F-M, Lískovec - na provoz MŠ Lískovec - ÚZ 00911</t>
  </si>
  <si>
    <t>ZŠ a MŠ F-M, Lískovec - na provoz MŠ Lískovec - ÚZ 00253</t>
  </si>
  <si>
    <t>ZŠ a MŠ F-M, Lískovec - na provoz ZŠ Lískovec - ÚZ 00911</t>
  </si>
  <si>
    <t>ZŠ a MŠ F-M, Lískovec - na provoz ZŠ Lískovec - ÚZ 00253</t>
  </si>
  <si>
    <t>ZŠ F-M, 1. máje 1700 - ÚZ 00911</t>
  </si>
  <si>
    <t>ZŠ F-M, 1. máje 1700 - ÚZ 00253</t>
  </si>
  <si>
    <t>ZŠ F-M, Československé armády 570 - ÚZ 00911</t>
  </si>
  <si>
    <t>ZŠ F-M, Československé armády 570 - ÚZ 00253</t>
  </si>
  <si>
    <t>ZŠ F-M, národního umělce P. Bezruče, tř. TGM 454 - ÚZ 00911</t>
  </si>
  <si>
    <t>ZŠ F-M, národního umělce P. Bezruče, tř. TGM 454 - ÚZ 00253</t>
  </si>
  <si>
    <t>ZŠ F-M, Komenského 402 - ÚZ 33092</t>
  </si>
  <si>
    <t>ZŠ F-M, Komenského 402 - ÚZ 00911</t>
  </si>
  <si>
    <t>ZŠ F-M, Komenského 402 - ÚZ 00253</t>
  </si>
  <si>
    <t>ZŠ F-M, Pionýrů 400 - ÚZ 00911</t>
  </si>
  <si>
    <t>ZŠ F-M, Pionýrů 400 - ÚZ 00253</t>
  </si>
  <si>
    <t>Rozpočtová opatření RM      č. 122 - 151              (v tis. Kč)</t>
  </si>
  <si>
    <t>Rozpočet roku 2025 po 3. změně a po rozpočtových opatřeních RM                  č. 1 - 151                               (v tis. Kč)</t>
  </si>
  <si>
    <t>Nemocnice ve F-M, p. o. - konference "Jak pomáhat v krizových situacích"</t>
  </si>
  <si>
    <t>Sportovní klub Město F-M, gymnastický oddíl - akce "MID European Team Gym Championschips"</t>
  </si>
  <si>
    <t>1.9.2025 - 31.8.2028</t>
  </si>
  <si>
    <t>Zš F-M, El. Krásnohorské 2254 - ÚZ 00911</t>
  </si>
  <si>
    <t>MŠ Sněženka - oprava kanalizace - s vyúčtováním</t>
  </si>
  <si>
    <t>Národní dům Frýdek-Místek - investiční transfer na pořízení mobilního kontejneru - s vyúčtováním</t>
  </si>
  <si>
    <r>
      <t xml:space="preserve">ZŠ F-M, El. Krásnohorské 2254 - příspěvek poskytnutý ex post - na provoz ZŠ </t>
    </r>
    <r>
      <rPr>
        <i/>
        <sz val="10"/>
        <color theme="1"/>
        <rFont val="Calibri"/>
        <family val="2"/>
        <charset val="238"/>
        <scheme val="minor"/>
      </rPr>
      <t>(na projekt "Přírodní zahrada pro 5. ZŠ Frýdek-Místek")</t>
    </r>
  </si>
  <si>
    <r>
      <t xml:space="preserve">ZŠ F-M, El. Krásnohorské 2254 - investiční transfer poskytnutý ex post </t>
    </r>
    <r>
      <rPr>
        <i/>
        <sz val="10"/>
        <color theme="1"/>
        <rFont val="Calibri"/>
        <family val="2"/>
        <charset val="238"/>
        <scheme val="minor"/>
      </rPr>
      <t>(na projekt "Přírodní zahrada pro 5. ZŠ Frýdek-Místek")</t>
    </r>
  </si>
  <si>
    <t>Centrum pečovatelské služby Frýdek-Místek, p. o. - investiční transfer na nákup automobilu - s vyúčtováním</t>
  </si>
  <si>
    <t>1.11.2025 - 31.12.2025</t>
  </si>
  <si>
    <t>ZŠ a MŠ Naděje, F-M, Škarabelova 562 - na provoz ZŠ - ÚZ 33092</t>
  </si>
  <si>
    <t>MŠ Sněženka - ÚZ 33092</t>
  </si>
  <si>
    <t>1.9.2025 - 31.12.2027</t>
  </si>
  <si>
    <t>Rozpočtová opatření RM                 č. 152 - 172               (v tis. Kč)</t>
  </si>
  <si>
    <t>4. změna rozpočtu                        (v tis. Kč)</t>
  </si>
  <si>
    <t>Rotary klub Frýdek-Místek, z. s. - akce "Prodej vánočního punče"</t>
  </si>
  <si>
    <t>ZŠ F-M, J. Čapka 2555 - ÚZ 00911</t>
  </si>
  <si>
    <t>ZŠ F-M, J. Čapka 2555 - ÚZ 00253</t>
  </si>
  <si>
    <t>ZŠ a MŠ F-M, Chlebovice - na provoz MŠ Chlebovice - ÚZ 00911</t>
  </si>
  <si>
    <t>ZŠ a MŠ F-M, Chlebovice - na provoz MŠ Chlebovice - ÚZ 00253</t>
  </si>
  <si>
    <t>ZŠ a MŠ F-M, Chlebovice - na provoz ZŠ Chlebovice - ÚZ 00911</t>
  </si>
  <si>
    <t>ZŠ a MŠ F-M, Chlebovice - na provoz ZŠ Chlebovice - ÚZ 00253</t>
  </si>
  <si>
    <t>ZŠ F-M, národního umělce P. Bezruče, tř. TGM 454 - ÚZ 33092</t>
  </si>
  <si>
    <t>1.1.2026 - 31.8.2028</t>
  </si>
  <si>
    <t>ZŠ F-M, 1. máje 1700 - ÚZ 33092</t>
  </si>
  <si>
    <t>1.1.2026 - 31.12.2028</t>
  </si>
  <si>
    <t>sl. 8</t>
  </si>
  <si>
    <t>Domov sv. Jana Křtitele, s. r. o. - DZR Lysůvky</t>
  </si>
  <si>
    <t>Investiční transfer MSK - projekt Digitální technická mapa MSK II</t>
  </si>
  <si>
    <t>2.8.2024 - 31.12.2025</t>
  </si>
  <si>
    <t>Rozpočtová opatření RM             č. 173 - 185                                   (v tis. kč)</t>
  </si>
  <si>
    <t>Rozpočet roku 2025 po 4. změně a po rozpočtových opatřeních RM                  č. 1 - 185                               (v tis. Kč)</t>
  </si>
  <si>
    <t>ZŠ a MŠ F-M, Skalice - na provoz ZŠ Skalice - ÚZ 00911</t>
  </si>
  <si>
    <t>ZŠ a MŠ F_M, Skalice -na provoz ZŠ Skalice - ÚZ 00253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</si>
</sst>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Tahoma"/>
      <family val="2"/>
      <charset val="238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3" fillId="4" borderId="1" xfId="0" applyFont="1" applyFill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4" fontId="4" fillId="0" borderId="7" xfId="0" applyNumberFormat="1" applyFont="1" applyBorder="1" applyAlignment="1">
      <alignment vertical="center"/>
    </xf>
    <xf numFmtId="0" fontId="4" fillId="0" borderId="8" xfId="0" applyFont="1" applyBorder="1" applyAlignment="1">
      <alignment vertical="center" wrapText="1"/>
    </xf>
    <xf numFmtId="4" fontId="4" fillId="0" borderId="9" xfId="0" applyNumberFormat="1" applyFont="1" applyBorder="1" applyAlignment="1">
      <alignment vertical="center"/>
    </xf>
    <xf numFmtId="0" fontId="4" fillId="0" borderId="10" xfId="0" applyFont="1" applyBorder="1" applyAlignment="1">
      <alignment vertical="center" wrapText="1"/>
    </xf>
    <xf numFmtId="4" fontId="4" fillId="0" borderId="11" xfId="0" applyNumberFormat="1" applyFont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4" fontId="4" fillId="0" borderId="5" xfId="0" applyNumberFormat="1" applyFont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4" fontId="4" fillId="5" borderId="3" xfId="0" applyNumberFormat="1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6" fillId="0" borderId="8" xfId="0" applyFont="1" applyBorder="1" applyAlignment="1">
      <alignment vertical="center" wrapText="1"/>
    </xf>
    <xf numFmtId="0" fontId="5" fillId="6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horizontal="left" vertical="center" wrapText="1"/>
    </xf>
    <xf numFmtId="4" fontId="4" fillId="7" borderId="3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horizontal="left" vertical="center" wrapText="1"/>
    </xf>
    <xf numFmtId="4" fontId="3" fillId="8" borderId="3" xfId="0" applyNumberFormat="1" applyFont="1" applyFill="1" applyBorder="1" applyAlignment="1">
      <alignment vertical="center"/>
    </xf>
    <xf numFmtId="0" fontId="4" fillId="0" borderId="6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4" fontId="4" fillId="3" borderId="9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4" fillId="3" borderId="9" xfId="0" applyFont="1" applyFill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3" borderId="8" xfId="0" applyFont="1" applyFill="1" applyBorder="1" applyAlignment="1">
      <alignment vertical="center" wrapText="1"/>
    </xf>
    <xf numFmtId="0" fontId="0" fillId="0" borderId="9" xfId="0" applyBorder="1" applyAlignment="1">
      <alignment horizontal="center" vertical="center"/>
    </xf>
    <xf numFmtId="0" fontId="7" fillId="8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/>
    </xf>
    <xf numFmtId="4" fontId="3" fillId="7" borderId="3" xfId="0" applyNumberFormat="1" applyFont="1" applyFill="1" applyBorder="1" applyAlignment="1">
      <alignment vertical="center"/>
    </xf>
    <xf numFmtId="0" fontId="4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3" borderId="0" xfId="0" applyFill="1"/>
    <xf numFmtId="0" fontId="4" fillId="0" borderId="5" xfId="0" applyFont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0" fillId="4" borderId="13" xfId="0" applyFill="1" applyBorder="1"/>
    <xf numFmtId="0" fontId="0" fillId="4" borderId="3" xfId="0" applyFill="1" applyBorder="1"/>
    <xf numFmtId="0" fontId="6" fillId="3" borderId="9" xfId="0" applyFont="1" applyFill="1" applyBorder="1" applyAlignment="1">
      <alignment horizontal="center" vertical="center"/>
    </xf>
    <xf numFmtId="4" fontId="4" fillId="0" borderId="9" xfId="0" applyNumberFormat="1" applyFont="1" applyBorder="1" applyAlignment="1">
      <alignment horizontal="right" vertical="center"/>
    </xf>
    <xf numFmtId="4" fontId="4" fillId="0" borderId="7" xfId="0" applyNumberFormat="1" applyFont="1" applyBorder="1" applyAlignment="1">
      <alignment horizontal="right" vertical="center"/>
    </xf>
    <xf numFmtId="4" fontId="5" fillId="4" borderId="3" xfId="0" applyNumberFormat="1" applyFont="1" applyFill="1" applyBorder="1" applyAlignment="1">
      <alignment vertical="center"/>
    </xf>
    <xf numFmtId="4" fontId="3" fillId="5" borderId="3" xfId="0" applyNumberFormat="1" applyFont="1" applyFill="1" applyBorder="1" applyAlignment="1">
      <alignment vertical="center"/>
    </xf>
    <xf numFmtId="4" fontId="5" fillId="6" borderId="3" xfId="0" applyNumberFormat="1" applyFont="1" applyFill="1" applyBorder="1" applyAlignment="1">
      <alignment vertical="center"/>
    </xf>
    <xf numFmtId="4" fontId="4" fillId="0" borderId="11" xfId="0" applyNumberFormat="1" applyFont="1" applyBorder="1" applyAlignment="1">
      <alignment horizontal="right" vertical="center"/>
    </xf>
    <xf numFmtId="4" fontId="4" fillId="3" borderId="9" xfId="0" applyNumberFormat="1" applyFont="1" applyFill="1" applyBorder="1" applyAlignment="1">
      <alignment horizontal="right" vertical="center"/>
    </xf>
    <xf numFmtId="0" fontId="0" fillId="4" borderId="12" xfId="0" applyFill="1" applyBorder="1"/>
    <xf numFmtId="4" fontId="5" fillId="5" borderId="3" xfId="0" applyNumberFormat="1" applyFont="1" applyFill="1" applyBorder="1" applyAlignment="1">
      <alignment horizontal="right" vertical="center"/>
    </xf>
    <xf numFmtId="4" fontId="3" fillId="5" borderId="3" xfId="0" applyNumberFormat="1" applyFont="1" applyFill="1" applyBorder="1" applyAlignment="1">
      <alignment horizontal="right" vertical="center"/>
    </xf>
    <xf numFmtId="4" fontId="5" fillId="6" borderId="3" xfId="0" applyNumberFormat="1" applyFont="1" applyFill="1" applyBorder="1" applyAlignment="1">
      <alignment horizontal="right" vertical="center"/>
    </xf>
    <xf numFmtId="0" fontId="5" fillId="7" borderId="1" xfId="0" applyFont="1" applyFill="1" applyBorder="1" applyAlignment="1">
      <alignment vertical="center"/>
    </xf>
    <xf numFmtId="0" fontId="5" fillId="7" borderId="3" xfId="0" applyFont="1" applyFill="1" applyBorder="1" applyAlignment="1">
      <alignment horizontal="center" vertical="center"/>
    </xf>
    <xf numFmtId="4" fontId="7" fillId="8" borderId="3" xfId="0" applyNumberFormat="1" applyFont="1" applyFill="1" applyBorder="1" applyAlignment="1">
      <alignment horizontal="right" vertical="center"/>
    </xf>
    <xf numFmtId="0" fontId="7" fillId="7" borderId="3" xfId="0" applyFont="1" applyFill="1" applyBorder="1" applyAlignment="1">
      <alignment horizontal="center" vertical="center"/>
    </xf>
    <xf numFmtId="0" fontId="4" fillId="0" borderId="10" xfId="0" applyFont="1" applyBorder="1" applyAlignment="1">
      <alignment vertical="top" wrapText="1"/>
    </xf>
    <xf numFmtId="4" fontId="4" fillId="0" borderId="11" xfId="0" applyNumberFormat="1" applyFont="1" applyBorder="1" applyAlignment="1">
      <alignment horizontal="right" vertical="top"/>
    </xf>
    <xf numFmtId="4" fontId="6" fillId="0" borderId="7" xfId="0" applyNumberFormat="1" applyFont="1" applyBorder="1" applyAlignment="1">
      <alignment horizontal="right" vertical="center"/>
    </xf>
    <xf numFmtId="4" fontId="6" fillId="0" borderId="9" xfId="0" applyNumberFormat="1" applyFont="1" applyBorder="1" applyAlignment="1">
      <alignment horizontal="right" vertical="center"/>
    </xf>
    <xf numFmtId="4" fontId="6" fillId="0" borderId="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0" fontId="15" fillId="8" borderId="1" xfId="0" applyFont="1" applyFill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2" fillId="2" borderId="13" xfId="0" applyFont="1" applyFill="1" applyBorder="1" applyAlignment="1">
      <alignment horizontal="center"/>
    </xf>
    <xf numFmtId="0" fontId="0" fillId="8" borderId="3" xfId="0" applyFill="1" applyBorder="1" applyAlignment="1">
      <alignment horizontal="center" vertical="center"/>
    </xf>
    <xf numFmtId="0" fontId="5" fillId="3" borderId="4" xfId="0" applyFont="1" applyFill="1" applyBorder="1" applyAlignment="1">
      <alignment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vertical="center" wrapText="1"/>
    </xf>
    <xf numFmtId="4" fontId="5" fillId="3" borderId="5" xfId="0" applyNumberFormat="1" applyFont="1" applyFill="1" applyBorder="1" applyAlignment="1">
      <alignment horizontal="right" vertical="center"/>
    </xf>
    <xf numFmtId="4" fontId="0" fillId="0" borderId="7" xfId="0" applyNumberFormat="1" applyBorder="1" applyAlignment="1">
      <alignment vertical="center"/>
    </xf>
    <xf numFmtId="0" fontId="2" fillId="2" borderId="15" xfId="0" applyFont="1" applyFill="1" applyBorder="1" applyAlignment="1">
      <alignment horizontal="center"/>
    </xf>
    <xf numFmtId="0" fontId="0" fillId="4" borderId="15" xfId="0" applyFill="1" applyBorder="1"/>
    <xf numFmtId="4" fontId="5" fillId="4" borderId="15" xfId="0" applyNumberFormat="1" applyFont="1" applyFill="1" applyBorder="1" applyAlignment="1">
      <alignment vertical="center"/>
    </xf>
    <xf numFmtId="4" fontId="7" fillId="8" borderId="3" xfId="0" applyNumberFormat="1" applyFont="1" applyFill="1" applyBorder="1" applyAlignment="1">
      <alignment vertical="center"/>
    </xf>
    <xf numFmtId="4" fontId="0" fillId="0" borderId="0" xfId="0" applyNumberFormat="1"/>
    <xf numFmtId="0" fontId="3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vertical="center"/>
    </xf>
    <xf numFmtId="4" fontId="4" fillId="0" borderId="16" xfId="0" applyNumberFormat="1" applyFont="1" applyBorder="1" applyAlignment="1">
      <alignment vertical="center"/>
    </xf>
    <xf numFmtId="4" fontId="4" fillId="0" borderId="17" xfId="0" applyNumberFormat="1" applyFont="1" applyBorder="1" applyAlignment="1">
      <alignment vertical="center"/>
    </xf>
    <xf numFmtId="4" fontId="6" fillId="0" borderId="8" xfId="0" applyNumberFormat="1" applyFont="1" applyBorder="1" applyAlignment="1">
      <alignment vertical="center"/>
    </xf>
    <xf numFmtId="4" fontId="4" fillId="0" borderId="18" xfId="0" applyNumberFormat="1" applyFont="1" applyBorder="1" applyAlignment="1">
      <alignment vertical="center"/>
    </xf>
    <xf numFmtId="4" fontId="5" fillId="4" borderId="13" xfId="0" applyNumberFormat="1" applyFont="1" applyFill="1" applyBorder="1" applyAlignment="1">
      <alignment vertical="center"/>
    </xf>
    <xf numFmtId="4" fontId="4" fillId="0" borderId="14" xfId="0" applyNumberFormat="1" applyFont="1" applyBorder="1" applyAlignment="1">
      <alignment vertical="center"/>
    </xf>
    <xf numFmtId="4" fontId="4" fillId="5" borderId="13" xfId="0" applyNumberFormat="1" applyFont="1" applyFill="1" applyBorder="1" applyAlignment="1">
      <alignment vertical="center"/>
    </xf>
    <xf numFmtId="4" fontId="3" fillId="5" borderId="13" xfId="0" applyNumberFormat="1" applyFont="1" applyFill="1" applyBorder="1" applyAlignment="1">
      <alignment vertical="center"/>
    </xf>
    <xf numFmtId="4" fontId="4" fillId="7" borderId="13" xfId="0" applyNumberFormat="1" applyFont="1" applyFill="1" applyBorder="1" applyAlignment="1">
      <alignment vertical="center"/>
    </xf>
    <xf numFmtId="4" fontId="3" fillId="8" borderId="13" xfId="0" applyNumberFormat="1" applyFont="1" applyFill="1" applyBorder="1" applyAlignment="1">
      <alignment vertical="center"/>
    </xf>
    <xf numFmtId="4" fontId="5" fillId="6" borderId="13" xfId="0" applyNumberFormat="1" applyFont="1" applyFill="1" applyBorder="1" applyAlignment="1">
      <alignment vertical="center"/>
    </xf>
    <xf numFmtId="4" fontId="4" fillId="0" borderId="19" xfId="0" applyNumberFormat="1" applyFont="1" applyBorder="1" applyAlignment="1">
      <alignment vertical="center"/>
    </xf>
    <xf numFmtId="4" fontId="4" fillId="3" borderId="11" xfId="0" applyNumberFormat="1" applyFont="1" applyFill="1" applyBorder="1" applyAlignment="1">
      <alignment horizontal="right" vertical="center"/>
    </xf>
    <xf numFmtId="0" fontId="1" fillId="2" borderId="20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12" xfId="0" applyBorder="1"/>
    <xf numFmtId="0" fontId="0" fillId="0" borderId="15" xfId="0" applyBorder="1"/>
    <xf numFmtId="0" fontId="0" fillId="0" borderId="13" xfId="0" applyBorder="1"/>
    <xf numFmtId="0" fontId="3" fillId="3" borderId="4" xfId="0" applyFont="1" applyFill="1" applyBorder="1" applyAlignment="1">
      <alignment vertical="center"/>
    </xf>
    <xf numFmtId="4" fontId="4" fillId="0" borderId="11" xfId="0" applyNumberFormat="1" applyFont="1" applyBorder="1" applyAlignment="1">
      <alignment vertical="top"/>
    </xf>
    <xf numFmtId="0" fontId="4" fillId="0" borderId="28" xfId="0" applyFont="1" applyBorder="1" applyAlignment="1">
      <alignment vertical="center"/>
    </xf>
    <xf numFmtId="0" fontId="4" fillId="3" borderId="26" xfId="0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4" fontId="4" fillId="0" borderId="26" xfId="0" applyNumberFormat="1" applyFont="1" applyBorder="1" applyAlignment="1">
      <alignment vertical="center"/>
    </xf>
    <xf numFmtId="4" fontId="4" fillId="0" borderId="27" xfId="0" applyNumberFormat="1" applyFont="1" applyBorder="1" applyAlignment="1">
      <alignment vertical="center"/>
    </xf>
    <xf numFmtId="4" fontId="4" fillId="0" borderId="29" xfId="0" applyNumberFormat="1" applyFont="1" applyBorder="1" applyAlignment="1">
      <alignment vertical="center"/>
    </xf>
    <xf numFmtId="4" fontId="4" fillId="0" borderId="30" xfId="0" applyNumberFormat="1" applyFont="1" applyBorder="1" applyAlignment="1">
      <alignment vertical="center"/>
    </xf>
    <xf numFmtId="0" fontId="4" fillId="0" borderId="31" xfId="0" applyFont="1" applyBorder="1" applyAlignment="1">
      <alignment vertical="center" wrapText="1"/>
    </xf>
    <xf numFmtId="0" fontId="4" fillId="0" borderId="28" xfId="0" applyFont="1" applyBorder="1" applyAlignment="1">
      <alignment vertical="center" wrapText="1"/>
    </xf>
    <xf numFmtId="4" fontId="3" fillId="7" borderId="13" xfId="0" applyNumberFormat="1" applyFont="1" applyFill="1" applyBorder="1" applyAlignment="1">
      <alignment vertical="center"/>
    </xf>
    <xf numFmtId="0" fontId="7" fillId="8" borderId="33" xfId="0" applyFont="1" applyFill="1" applyBorder="1" applyAlignment="1">
      <alignment horizontal="center" vertical="center"/>
    </xf>
    <xf numFmtId="4" fontId="3" fillId="8" borderId="33" xfId="0" applyNumberFormat="1" applyFont="1" applyFill="1" applyBorder="1" applyAlignment="1">
      <alignment vertical="center"/>
    </xf>
    <xf numFmtId="4" fontId="3" fillId="8" borderId="34" xfId="0" applyNumberFormat="1" applyFont="1" applyFill="1" applyBorder="1" applyAlignment="1">
      <alignment vertical="center"/>
    </xf>
    <xf numFmtId="4" fontId="4" fillId="0" borderId="0" xfId="0" applyNumberFormat="1" applyFont="1" applyAlignment="1">
      <alignment vertical="center"/>
    </xf>
    <xf numFmtId="4" fontId="4" fillId="0" borderId="35" xfId="0" applyNumberFormat="1" applyFont="1" applyBorder="1" applyAlignment="1">
      <alignment vertical="center"/>
    </xf>
    <xf numFmtId="0" fontId="7" fillId="8" borderId="32" xfId="0" applyFont="1" applyFill="1" applyBorder="1" applyAlignment="1">
      <alignment vertical="center" wrapText="1"/>
    </xf>
    <xf numFmtId="0" fontId="3" fillId="7" borderId="3" xfId="0" applyFont="1" applyFill="1" applyBorder="1" applyAlignment="1">
      <alignment horizontal="center" vertical="center"/>
    </xf>
    <xf numFmtId="0" fontId="7" fillId="8" borderId="32" xfId="0" applyFont="1" applyFill="1" applyBorder="1" applyAlignment="1">
      <alignment vertical="center"/>
    </xf>
    <xf numFmtId="4" fontId="3" fillId="8" borderId="3" xfId="0" applyNumberFormat="1" applyFont="1" applyFill="1" applyBorder="1" applyAlignment="1">
      <alignment horizontal="right" vertical="center"/>
    </xf>
    <xf numFmtId="4" fontId="14" fillId="8" borderId="3" xfId="0" applyNumberFormat="1" applyFont="1" applyFill="1" applyBorder="1" applyAlignment="1">
      <alignment horizontal="right" vertical="center"/>
    </xf>
    <xf numFmtId="0" fontId="6" fillId="3" borderId="10" xfId="0" applyFont="1" applyFill="1" applyBorder="1" applyAlignment="1">
      <alignment vertical="center" wrapText="1"/>
    </xf>
    <xf numFmtId="0" fontId="3" fillId="5" borderId="32" xfId="0" applyFont="1" applyFill="1" applyBorder="1" applyAlignment="1">
      <alignment vertical="center" wrapText="1"/>
    </xf>
    <xf numFmtId="0" fontId="3" fillId="5" borderId="33" xfId="0" applyFont="1" applyFill="1" applyBorder="1" applyAlignment="1">
      <alignment horizontal="center" vertical="center"/>
    </xf>
    <xf numFmtId="4" fontId="3" fillId="5" borderId="33" xfId="0" applyNumberFormat="1" applyFont="1" applyFill="1" applyBorder="1" applyAlignment="1">
      <alignment vertical="center"/>
    </xf>
    <xf numFmtId="4" fontId="3" fillId="5" borderId="33" xfId="0" applyNumberFormat="1" applyFont="1" applyFill="1" applyBorder="1" applyAlignment="1">
      <alignment horizontal="right" vertical="center"/>
    </xf>
    <xf numFmtId="4" fontId="3" fillId="5" borderId="34" xfId="0" applyNumberFormat="1" applyFont="1" applyFill="1" applyBorder="1" applyAlignment="1">
      <alignment vertical="center"/>
    </xf>
    <xf numFmtId="0" fontId="4" fillId="0" borderId="36" xfId="0" applyFont="1" applyBorder="1" applyAlignment="1">
      <alignment vertical="center" wrapText="1"/>
    </xf>
    <xf numFmtId="0" fontId="4" fillId="0" borderId="37" xfId="0" applyFont="1" applyBorder="1" applyAlignment="1">
      <alignment horizontal="center" vertical="center"/>
    </xf>
    <xf numFmtId="4" fontId="4" fillId="0" borderId="37" xfId="0" applyNumberFormat="1" applyFont="1" applyBorder="1" applyAlignment="1">
      <alignment vertical="center"/>
    </xf>
    <xf numFmtId="4" fontId="4" fillId="3" borderId="37" xfId="0" applyNumberFormat="1" applyFont="1" applyFill="1" applyBorder="1" applyAlignment="1">
      <alignment horizontal="right" vertical="center"/>
    </xf>
    <xf numFmtId="4" fontId="4" fillId="0" borderId="38" xfId="0" applyNumberFormat="1" applyFont="1" applyBorder="1" applyAlignment="1">
      <alignment vertical="center"/>
    </xf>
    <xf numFmtId="0" fontId="7" fillId="8" borderId="32" xfId="0" applyFont="1" applyFill="1" applyBorder="1" applyAlignment="1">
      <alignment horizontal="left" vertical="center" wrapText="1"/>
    </xf>
    <xf numFmtId="4" fontId="14" fillId="8" borderId="3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E5AE5-CE95-469F-969B-928B635BFF1B}">
  <dimension ref="A1:R488"/>
  <sheetViews>
    <sheetView tabSelected="1" view="pageLayout" topLeftCell="A479" zoomScale="110" zoomScaleNormal="100" zoomScalePageLayoutView="110" workbookViewId="0">
      <selection activeCell="A465" sqref="A465:Q465"/>
    </sheetView>
  </sheetViews>
  <sheetFormatPr defaultColWidth="9.125" defaultRowHeight="14.3" x14ac:dyDescent="0.25"/>
  <cols>
    <col min="1" max="1" width="45.875" customWidth="1"/>
    <col min="2" max="2" width="16.5" style="92" customWidth="1"/>
    <col min="3" max="3" width="12.625" customWidth="1"/>
    <col min="4" max="4" width="10.625" hidden="1" customWidth="1"/>
    <col min="5" max="5" width="11.375" hidden="1" customWidth="1"/>
    <col min="6" max="6" width="0.125" hidden="1" customWidth="1"/>
    <col min="7" max="7" width="13.25" hidden="1" customWidth="1"/>
    <col min="8" max="8" width="10.625" hidden="1" customWidth="1"/>
    <col min="9" max="9" width="10" hidden="1" customWidth="1"/>
    <col min="10" max="10" width="12.625" hidden="1" customWidth="1"/>
    <col min="11" max="11" width="10.125" hidden="1" customWidth="1"/>
    <col min="12" max="12" width="9.75" hidden="1" customWidth="1"/>
    <col min="13" max="13" width="12.5" customWidth="1"/>
    <col min="14" max="15" width="10.75" customWidth="1"/>
    <col min="16" max="16" width="10.125" customWidth="1"/>
    <col min="17" max="17" width="12.625" customWidth="1"/>
    <col min="18" max="18" width="11.5" bestFit="1" customWidth="1"/>
  </cols>
  <sheetData>
    <row r="1" spans="1:18" ht="72" customHeight="1" thickBot="1" x14ac:dyDescent="0.3">
      <c r="A1" s="109" t="s">
        <v>0</v>
      </c>
      <c r="B1" s="110" t="s">
        <v>1</v>
      </c>
      <c r="C1" s="111" t="s">
        <v>257</v>
      </c>
      <c r="D1" s="112" t="s">
        <v>292</v>
      </c>
      <c r="E1" s="111" t="s">
        <v>293</v>
      </c>
      <c r="F1" s="111" t="s">
        <v>359</v>
      </c>
      <c r="G1" s="113" t="s">
        <v>371</v>
      </c>
      <c r="H1" s="111" t="s">
        <v>372</v>
      </c>
      <c r="I1" s="111" t="s">
        <v>392</v>
      </c>
      <c r="J1" s="111" t="s">
        <v>399</v>
      </c>
      <c r="K1" s="111" t="s">
        <v>400</v>
      </c>
      <c r="L1" s="111" t="s">
        <v>443</v>
      </c>
      <c r="M1" s="111" t="s">
        <v>444</v>
      </c>
      <c r="N1" s="111" t="s">
        <v>458</v>
      </c>
      <c r="O1" s="111" t="s">
        <v>459</v>
      </c>
      <c r="P1" s="111" t="s">
        <v>475</v>
      </c>
      <c r="Q1" s="114" t="s">
        <v>476</v>
      </c>
    </row>
    <row r="2" spans="1:18" ht="13.6" customHeight="1" thickBot="1" x14ac:dyDescent="0.3">
      <c r="A2" s="1" t="s">
        <v>2</v>
      </c>
      <c r="B2" s="2" t="s">
        <v>3</v>
      </c>
      <c r="C2" s="3" t="s">
        <v>4</v>
      </c>
      <c r="D2" s="3" t="s">
        <v>5</v>
      </c>
      <c r="E2" s="3" t="s">
        <v>6</v>
      </c>
      <c r="F2" s="3" t="s">
        <v>289</v>
      </c>
      <c r="G2" s="83" t="s">
        <v>5</v>
      </c>
      <c r="H2" s="3" t="s">
        <v>6</v>
      </c>
      <c r="I2" s="3" t="s">
        <v>289</v>
      </c>
      <c r="J2" s="3" t="s">
        <v>5</v>
      </c>
      <c r="K2" s="3" t="s">
        <v>6</v>
      </c>
      <c r="L2" s="3" t="s">
        <v>289</v>
      </c>
      <c r="M2" s="3" t="s">
        <v>5</v>
      </c>
      <c r="N2" s="3" t="s">
        <v>6</v>
      </c>
      <c r="O2" s="3" t="s">
        <v>289</v>
      </c>
      <c r="P2" s="3" t="s">
        <v>401</v>
      </c>
      <c r="Q2" s="76" t="s">
        <v>471</v>
      </c>
    </row>
    <row r="3" spans="1:18" ht="10.9" customHeight="1" thickBot="1" x14ac:dyDescent="0.3">
      <c r="A3" s="115"/>
      <c r="B3" s="116"/>
      <c r="C3" s="117"/>
      <c r="D3" s="118"/>
      <c r="E3" s="117"/>
      <c r="F3" s="117"/>
      <c r="G3" s="119"/>
      <c r="H3" s="117"/>
      <c r="I3" s="117"/>
      <c r="J3" s="117"/>
      <c r="K3" s="117"/>
      <c r="L3" s="117"/>
      <c r="M3" s="117"/>
      <c r="N3" s="117"/>
      <c r="O3" s="117"/>
      <c r="P3" s="117"/>
      <c r="Q3" s="120"/>
    </row>
    <row r="4" spans="1:18" ht="16.5" customHeight="1" thickBot="1" x14ac:dyDescent="0.3">
      <c r="A4" s="4" t="s">
        <v>7</v>
      </c>
      <c r="B4" s="88"/>
      <c r="C4" s="50"/>
      <c r="D4" s="59"/>
      <c r="E4" s="50"/>
      <c r="F4" s="50"/>
      <c r="G4" s="84"/>
      <c r="H4" s="50"/>
      <c r="I4" s="50"/>
      <c r="J4" s="50"/>
      <c r="K4" s="50"/>
      <c r="L4" s="50"/>
      <c r="M4" s="50"/>
      <c r="N4" s="50"/>
      <c r="O4" s="50"/>
      <c r="P4" s="50"/>
      <c r="Q4" s="49"/>
    </row>
    <row r="5" spans="1:18" ht="14.95" customHeight="1" x14ac:dyDescent="0.25">
      <c r="A5" s="5" t="s">
        <v>8</v>
      </c>
      <c r="B5" s="27"/>
      <c r="C5" s="6">
        <v>1306067</v>
      </c>
      <c r="D5" s="6">
        <v>0</v>
      </c>
      <c r="E5" s="6">
        <v>19763.5</v>
      </c>
      <c r="F5" s="6">
        <v>0</v>
      </c>
      <c r="G5" s="6">
        <f>SUM(C5:F5)</f>
        <v>1325830.5</v>
      </c>
      <c r="H5" s="6">
        <v>0</v>
      </c>
      <c r="I5" s="6">
        <v>0</v>
      </c>
      <c r="J5" s="6">
        <f>SUM(G5:I5)</f>
        <v>1325830.5</v>
      </c>
      <c r="K5" s="6">
        <f>1002</f>
        <v>1002</v>
      </c>
      <c r="L5" s="6">
        <v>0</v>
      </c>
      <c r="M5" s="6">
        <f>SUM(J5:L5)</f>
        <v>1326832.5</v>
      </c>
      <c r="N5" s="6">
        <v>0</v>
      </c>
      <c r="O5" s="6">
        <f>500+10402+200+1300+1000</f>
        <v>13402</v>
      </c>
      <c r="P5" s="6">
        <v>0</v>
      </c>
      <c r="Q5" s="99">
        <f>SUM(M5:P5)</f>
        <v>1340234.5</v>
      </c>
    </row>
    <row r="6" spans="1:18" ht="14.95" customHeight="1" x14ac:dyDescent="0.25">
      <c r="A6" s="7" t="s">
        <v>9</v>
      </c>
      <c r="B6" s="29"/>
      <c r="C6" s="8">
        <v>225641</v>
      </c>
      <c r="D6" s="8">
        <f>475.74+167.01+1065.77</f>
        <v>1708.52</v>
      </c>
      <c r="E6" s="8">
        <v>-789.78</v>
      </c>
      <c r="F6" s="8">
        <f>57.17+67.31+329.6+44.57+79.79</f>
        <v>578.44000000000005</v>
      </c>
      <c r="G6" s="8">
        <f>SUM(C6:F6)+199.95</f>
        <v>227338.13</v>
      </c>
      <c r="H6" s="8">
        <v>18674.34</v>
      </c>
      <c r="I6" s="8">
        <f>115.82+36.42</f>
        <v>152.24</v>
      </c>
      <c r="J6" s="8">
        <f>SUM(G6:I6)+353.45</f>
        <v>246518.16</v>
      </c>
      <c r="K6" s="8">
        <f>13925.93</f>
        <v>13925.93</v>
      </c>
      <c r="L6" s="8">
        <f>78.4+47.83+64.21+6.22</f>
        <v>196.66</v>
      </c>
      <c r="M6" s="8">
        <f t="shared" ref="M6:M70" si="0">SUM(J6:L6)</f>
        <v>260640.75</v>
      </c>
      <c r="N6" s="8">
        <f>15.19+914.54+218.72</f>
        <v>1148.45</v>
      </c>
      <c r="O6" s="8">
        <f>272+13511+792+300+87+53+465</f>
        <v>15480</v>
      </c>
      <c r="P6" s="8">
        <f>24.46</f>
        <v>24.46</v>
      </c>
      <c r="Q6" s="99">
        <f t="shared" ref="Q6:Q69" si="1">SUM(M6:P6)</f>
        <v>277293.66000000003</v>
      </c>
    </row>
    <row r="7" spans="1:18" ht="14.95" customHeight="1" x14ac:dyDescent="0.25">
      <c r="A7" s="7" t="s">
        <v>10</v>
      </c>
      <c r="B7" s="29"/>
      <c r="C7" s="8">
        <v>61500</v>
      </c>
      <c r="D7" s="8">
        <v>0</v>
      </c>
      <c r="E7" s="8">
        <v>0</v>
      </c>
      <c r="F7" s="8">
        <v>0</v>
      </c>
      <c r="G7" s="8">
        <f t="shared" ref="G7:G98" si="2">SUM(C7:F7)</f>
        <v>61500</v>
      </c>
      <c r="H7" s="8">
        <v>883</v>
      </c>
      <c r="I7" s="8">
        <v>0</v>
      </c>
      <c r="J7" s="8">
        <f t="shared" ref="J7:J72" si="3">SUM(G7:I7)</f>
        <v>62383</v>
      </c>
      <c r="K7" s="8">
        <f>1472</f>
        <v>1472</v>
      </c>
      <c r="L7" s="8">
        <v>0</v>
      </c>
      <c r="M7" s="8">
        <f t="shared" si="0"/>
        <v>63855</v>
      </c>
      <c r="N7" s="8">
        <v>0</v>
      </c>
      <c r="O7" s="8">
        <f>-12728.62</f>
        <v>-12728.62</v>
      </c>
      <c r="P7" s="8">
        <v>0</v>
      </c>
      <c r="Q7" s="99">
        <f t="shared" si="1"/>
        <v>51126.38</v>
      </c>
    </row>
    <row r="8" spans="1:18" ht="14.95" customHeight="1" thickBot="1" x14ac:dyDescent="0.3">
      <c r="A8" s="9" t="s">
        <v>11</v>
      </c>
      <c r="B8" s="25"/>
      <c r="C8" s="10">
        <v>249289.98</v>
      </c>
      <c r="D8" s="10">
        <f>7933.14</f>
        <v>7933.14</v>
      </c>
      <c r="E8" s="10">
        <v>-8922</v>
      </c>
      <c r="F8" s="10">
        <f>6072.39+9267.92+2163.34</f>
        <v>17503.650000000001</v>
      </c>
      <c r="G8" s="10">
        <f t="shared" si="2"/>
        <v>265804.77</v>
      </c>
      <c r="H8" s="10">
        <v>16983.009999999998</v>
      </c>
      <c r="I8" s="10">
        <f>1597.69+1263.7</f>
        <v>2861.3900000000003</v>
      </c>
      <c r="J8" s="10">
        <f>SUM(G8:I8)+4272.07</f>
        <v>289921.24000000005</v>
      </c>
      <c r="K8" s="10">
        <f>3237.8</f>
        <v>3237.8</v>
      </c>
      <c r="L8" s="10">
        <f>242.92+161.8+5799.13+420.85</f>
        <v>6624.7000000000007</v>
      </c>
      <c r="M8" s="10">
        <f t="shared" si="0"/>
        <v>299783.74000000005</v>
      </c>
      <c r="N8" s="10">
        <f>1041.81+681.15+4185.01</f>
        <v>5907.97</v>
      </c>
      <c r="O8" s="10">
        <f>180</f>
        <v>180</v>
      </c>
      <c r="P8" s="10">
        <f>73.74+59.56</f>
        <v>133.30000000000001</v>
      </c>
      <c r="Q8" s="101">
        <f t="shared" si="1"/>
        <v>306005.01</v>
      </c>
    </row>
    <row r="9" spans="1:18" ht="16.5" customHeight="1" thickBot="1" x14ac:dyDescent="0.3">
      <c r="A9" s="11" t="s">
        <v>12</v>
      </c>
      <c r="B9" s="89"/>
      <c r="C9" s="54">
        <f>SUM(C5:C8)</f>
        <v>1842497.98</v>
      </c>
      <c r="D9" s="54">
        <f t="shared" ref="D9:H9" si="4">SUM(D5:D8)</f>
        <v>9641.66</v>
      </c>
      <c r="E9" s="54">
        <f t="shared" si="4"/>
        <v>10051.720000000001</v>
      </c>
      <c r="F9" s="54">
        <f t="shared" si="4"/>
        <v>18082.09</v>
      </c>
      <c r="G9" s="85">
        <f t="shared" si="4"/>
        <v>1880473.4</v>
      </c>
      <c r="H9" s="54">
        <f t="shared" si="4"/>
        <v>36540.35</v>
      </c>
      <c r="I9" s="54">
        <f t="shared" ref="I9:L9" si="5">SUM(I5:I8)</f>
        <v>3013.63</v>
      </c>
      <c r="J9" s="54">
        <f t="shared" si="5"/>
        <v>1924652.9</v>
      </c>
      <c r="K9" s="54">
        <f t="shared" si="5"/>
        <v>19637.73</v>
      </c>
      <c r="L9" s="54">
        <f t="shared" si="5"/>
        <v>6821.3600000000006</v>
      </c>
      <c r="M9" s="54">
        <f>SUM(M5:M8)</f>
        <v>1951111.99</v>
      </c>
      <c r="N9" s="54">
        <f>SUM(N5:N8)</f>
        <v>7056.42</v>
      </c>
      <c r="O9" s="54">
        <f>SUM(O5:O8)</f>
        <v>16333.38</v>
      </c>
      <c r="P9" s="54">
        <f>SUM(P5:P8)</f>
        <v>157.76000000000002</v>
      </c>
      <c r="Q9" s="100">
        <f t="shared" si="1"/>
        <v>1974659.5499999998</v>
      </c>
      <c r="R9" s="87"/>
    </row>
    <row r="10" spans="1:18" ht="12.9" customHeight="1" thickBot="1" x14ac:dyDescent="0.3">
      <c r="A10" s="12"/>
      <c r="B10" s="47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01"/>
    </row>
    <row r="11" spans="1:18" ht="14.95" customHeight="1" thickBot="1" x14ac:dyDescent="0.3">
      <c r="A11" s="14" t="s">
        <v>13</v>
      </c>
      <c r="B11" s="43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02"/>
    </row>
    <row r="12" spans="1:18" ht="14.95" customHeight="1" x14ac:dyDescent="0.25">
      <c r="A12" s="5" t="s">
        <v>14</v>
      </c>
      <c r="B12" s="27"/>
      <c r="C12" s="6">
        <v>518930.57</v>
      </c>
      <c r="D12" s="6">
        <f>24.46+483.3+178.41</f>
        <v>686.17</v>
      </c>
      <c r="E12" s="6">
        <v>88366.47</v>
      </c>
      <c r="F12" s="6">
        <v>0</v>
      </c>
      <c r="G12" s="6">
        <f t="shared" si="2"/>
        <v>607983.21</v>
      </c>
      <c r="H12" s="6">
        <v>0</v>
      </c>
      <c r="I12" s="6">
        <v>0</v>
      </c>
      <c r="J12" s="6">
        <f t="shared" si="3"/>
        <v>607983.21</v>
      </c>
      <c r="K12" s="6">
        <v>0</v>
      </c>
      <c r="L12" s="6">
        <v>0</v>
      </c>
      <c r="M12" s="6">
        <f>SUM(J12:L12)</f>
        <v>607983.21</v>
      </c>
      <c r="N12" s="6">
        <v>0</v>
      </c>
      <c r="O12" s="6">
        <v>0</v>
      </c>
      <c r="P12" s="6">
        <v>0</v>
      </c>
      <c r="Q12" s="99">
        <f t="shared" si="1"/>
        <v>607983.21</v>
      </c>
    </row>
    <row r="13" spans="1:18" ht="14.95" customHeight="1" x14ac:dyDescent="0.25">
      <c r="A13" s="7" t="s">
        <v>15</v>
      </c>
      <c r="B13" s="29"/>
      <c r="C13" s="52">
        <v>63707.6</v>
      </c>
      <c r="D13" s="8">
        <v>0</v>
      </c>
      <c r="E13" s="8">
        <v>139247.65</v>
      </c>
      <c r="F13" s="8">
        <v>0</v>
      </c>
      <c r="G13" s="8">
        <f t="shared" si="2"/>
        <v>202955.25</v>
      </c>
      <c r="H13" s="8">
        <v>0</v>
      </c>
      <c r="I13" s="8">
        <v>0</v>
      </c>
      <c r="J13" s="8">
        <f t="shared" si="3"/>
        <v>202955.25</v>
      </c>
      <c r="K13" s="8">
        <v>0</v>
      </c>
      <c r="L13" s="8">
        <v>0</v>
      </c>
      <c r="M13" s="8">
        <f t="shared" si="0"/>
        <v>202955.25</v>
      </c>
      <c r="N13" s="8">
        <v>0</v>
      </c>
      <c r="O13" s="8">
        <v>0</v>
      </c>
      <c r="P13" s="8">
        <v>0</v>
      </c>
      <c r="Q13" s="99">
        <f t="shared" si="1"/>
        <v>202955.25</v>
      </c>
    </row>
    <row r="14" spans="1:18" ht="14.95" customHeight="1" x14ac:dyDescent="0.25">
      <c r="A14" s="7" t="s">
        <v>16</v>
      </c>
      <c r="B14" s="29"/>
      <c r="C14" s="52">
        <v>14462</v>
      </c>
      <c r="D14" s="8">
        <v>0</v>
      </c>
      <c r="E14" s="8">
        <v>0</v>
      </c>
      <c r="F14" s="8">
        <v>0</v>
      </c>
      <c r="G14" s="8">
        <f t="shared" si="2"/>
        <v>14462</v>
      </c>
      <c r="H14" s="8">
        <v>0</v>
      </c>
      <c r="I14" s="8">
        <v>0</v>
      </c>
      <c r="J14" s="8">
        <f t="shared" si="3"/>
        <v>14462</v>
      </c>
      <c r="K14" s="8">
        <v>0</v>
      </c>
      <c r="L14" s="8">
        <v>0</v>
      </c>
      <c r="M14" s="8">
        <f t="shared" si="0"/>
        <v>14462</v>
      </c>
      <c r="N14" s="8">
        <v>0</v>
      </c>
      <c r="O14" s="8">
        <v>0</v>
      </c>
      <c r="P14" s="8">
        <v>0</v>
      </c>
      <c r="Q14" s="99">
        <f t="shared" si="1"/>
        <v>14462</v>
      </c>
    </row>
    <row r="15" spans="1:18" ht="26.5" customHeight="1" x14ac:dyDescent="0.25">
      <c r="A15" s="7" t="s">
        <v>17</v>
      </c>
      <c r="B15" s="29"/>
      <c r="C15" s="52">
        <v>2450</v>
      </c>
      <c r="D15" s="8">
        <v>0</v>
      </c>
      <c r="E15" s="8">
        <v>-930</v>
      </c>
      <c r="F15" s="8">
        <v>0</v>
      </c>
      <c r="G15" s="8">
        <f t="shared" si="2"/>
        <v>1520</v>
      </c>
      <c r="H15" s="8">
        <v>0</v>
      </c>
      <c r="I15" s="8">
        <v>0</v>
      </c>
      <c r="J15" s="8">
        <f t="shared" si="3"/>
        <v>1520</v>
      </c>
      <c r="K15" s="8">
        <v>0</v>
      </c>
      <c r="L15" s="8">
        <v>0</v>
      </c>
      <c r="M15" s="8">
        <f>SUM(J15:L15)</f>
        <v>1520</v>
      </c>
      <c r="N15" s="8">
        <v>0</v>
      </c>
      <c r="O15" s="8">
        <v>0</v>
      </c>
      <c r="P15" s="8">
        <v>0</v>
      </c>
      <c r="Q15" s="99">
        <f>SUM(M15:P15)</f>
        <v>1520</v>
      </c>
    </row>
    <row r="16" spans="1:18" ht="25.15" customHeight="1" x14ac:dyDescent="0.25">
      <c r="A16" s="7" t="s">
        <v>18</v>
      </c>
      <c r="B16" s="29"/>
      <c r="C16" s="52">
        <v>0</v>
      </c>
      <c r="D16" s="52">
        <v>0</v>
      </c>
      <c r="E16" s="52">
        <v>0</v>
      </c>
      <c r="F16" s="52">
        <v>0</v>
      </c>
      <c r="G16" s="8">
        <f t="shared" si="2"/>
        <v>0</v>
      </c>
      <c r="H16" s="8">
        <v>0</v>
      </c>
      <c r="I16" s="8">
        <v>0</v>
      </c>
      <c r="J16" s="8">
        <f t="shared" si="3"/>
        <v>0</v>
      </c>
      <c r="K16" s="8">
        <v>0</v>
      </c>
      <c r="L16" s="8">
        <v>0</v>
      </c>
      <c r="M16" s="8">
        <f t="shared" si="0"/>
        <v>0</v>
      </c>
      <c r="N16" s="8">
        <v>0</v>
      </c>
      <c r="O16" s="8">
        <v>0</v>
      </c>
      <c r="P16" s="8">
        <v>0</v>
      </c>
      <c r="Q16" s="99">
        <f t="shared" si="1"/>
        <v>0</v>
      </c>
    </row>
    <row r="17" spans="1:18" ht="14.95" customHeight="1" x14ac:dyDescent="0.25">
      <c r="A17" s="7" t="s">
        <v>19</v>
      </c>
      <c r="B17" s="29"/>
      <c r="C17" s="52">
        <v>3000</v>
      </c>
      <c r="D17" s="8">
        <v>0</v>
      </c>
      <c r="E17" s="8">
        <v>0</v>
      </c>
      <c r="F17" s="8">
        <v>0</v>
      </c>
      <c r="G17" s="8">
        <f>SUM(C17:F17)</f>
        <v>3000</v>
      </c>
      <c r="H17" s="8">
        <v>0</v>
      </c>
      <c r="I17" s="8">
        <v>0</v>
      </c>
      <c r="J17" s="8">
        <f t="shared" si="3"/>
        <v>3000</v>
      </c>
      <c r="K17" s="8">
        <v>0</v>
      </c>
      <c r="L17" s="8">
        <v>0</v>
      </c>
      <c r="M17" s="8">
        <f t="shared" si="0"/>
        <v>3000</v>
      </c>
      <c r="N17" s="8">
        <v>0</v>
      </c>
      <c r="O17" s="8">
        <f>-3000</f>
        <v>-3000</v>
      </c>
      <c r="P17" s="8">
        <v>0</v>
      </c>
      <c r="Q17" s="99">
        <f t="shared" si="1"/>
        <v>0</v>
      </c>
    </row>
    <row r="18" spans="1:18" ht="14.95" customHeight="1" x14ac:dyDescent="0.25">
      <c r="A18" s="17" t="s">
        <v>20</v>
      </c>
      <c r="B18" s="29"/>
      <c r="C18" s="52">
        <v>0</v>
      </c>
      <c r="D18" s="52">
        <v>0</v>
      </c>
      <c r="E18" s="52">
        <v>0</v>
      </c>
      <c r="F18" s="52">
        <v>0</v>
      </c>
      <c r="G18" s="8">
        <f t="shared" si="2"/>
        <v>0</v>
      </c>
      <c r="H18" s="8">
        <v>0</v>
      </c>
      <c r="I18" s="8">
        <v>0</v>
      </c>
      <c r="J18" s="8">
        <f t="shared" si="3"/>
        <v>0</v>
      </c>
      <c r="K18" s="8">
        <v>0</v>
      </c>
      <c r="L18" s="8">
        <v>0</v>
      </c>
      <c r="M18" s="8">
        <f t="shared" si="0"/>
        <v>0</v>
      </c>
      <c r="N18" s="8">
        <v>0</v>
      </c>
      <c r="O18" s="8">
        <v>0</v>
      </c>
      <c r="P18" s="8">
        <v>0</v>
      </c>
      <c r="Q18" s="99">
        <f>SUM(M18:P18)</f>
        <v>0</v>
      </c>
    </row>
    <row r="19" spans="1:18" ht="14.95" customHeight="1" thickBot="1" x14ac:dyDescent="0.3">
      <c r="A19" s="9" t="s">
        <v>21</v>
      </c>
      <c r="B19" s="25"/>
      <c r="C19" s="57">
        <v>0</v>
      </c>
      <c r="D19" s="57">
        <v>0</v>
      </c>
      <c r="E19" s="57">
        <v>0</v>
      </c>
      <c r="F19" s="57">
        <v>0</v>
      </c>
      <c r="G19" s="10">
        <f t="shared" si="2"/>
        <v>0</v>
      </c>
      <c r="H19" s="10">
        <v>0</v>
      </c>
      <c r="I19" s="10">
        <v>0</v>
      </c>
      <c r="J19" s="10">
        <f t="shared" si="3"/>
        <v>0</v>
      </c>
      <c r="K19" s="10">
        <v>0</v>
      </c>
      <c r="L19" s="10">
        <v>0</v>
      </c>
      <c r="M19" s="10">
        <f t="shared" si="0"/>
        <v>0</v>
      </c>
      <c r="N19" s="10">
        <v>0</v>
      </c>
      <c r="O19" s="10">
        <v>0</v>
      </c>
      <c r="P19" s="10">
        <v>0</v>
      </c>
      <c r="Q19" s="101">
        <f t="shared" si="1"/>
        <v>0</v>
      </c>
    </row>
    <row r="20" spans="1:18" ht="27.2" customHeight="1" thickBot="1" x14ac:dyDescent="0.3">
      <c r="A20" s="14" t="s">
        <v>22</v>
      </c>
      <c r="B20" s="44"/>
      <c r="C20" s="55">
        <f>SUM(C12:C19)</f>
        <v>602550.17000000004</v>
      </c>
      <c r="D20" s="55">
        <f t="shared" ref="D20:I20" si="6">SUM(D12:D19)</f>
        <v>686.17</v>
      </c>
      <c r="E20" s="55">
        <f t="shared" si="6"/>
        <v>226684.12</v>
      </c>
      <c r="F20" s="55">
        <f t="shared" si="6"/>
        <v>0</v>
      </c>
      <c r="G20" s="55">
        <f t="shared" si="6"/>
        <v>829920.46</v>
      </c>
      <c r="H20" s="55">
        <f t="shared" si="6"/>
        <v>0</v>
      </c>
      <c r="I20" s="55">
        <f t="shared" si="6"/>
        <v>0</v>
      </c>
      <c r="J20" s="55">
        <f t="shared" ref="J20:L20" si="7">SUM(J12:J19)</f>
        <v>829920.46</v>
      </c>
      <c r="K20" s="55">
        <f t="shared" si="7"/>
        <v>0</v>
      </c>
      <c r="L20" s="55">
        <f t="shared" si="7"/>
        <v>0</v>
      </c>
      <c r="M20" s="55">
        <f>SUM(M12:M19)</f>
        <v>829920.46</v>
      </c>
      <c r="N20" s="55">
        <f>SUM(N12:N19)</f>
        <v>0</v>
      </c>
      <c r="O20" s="55">
        <f>SUM(O12:O19)</f>
        <v>-3000</v>
      </c>
      <c r="P20" s="55">
        <f>SUM(P12:P19)</f>
        <v>0</v>
      </c>
      <c r="Q20" s="103">
        <f>SUM(M20:P20)</f>
        <v>826920.46</v>
      </c>
      <c r="R20" s="87"/>
    </row>
    <row r="21" spans="1:18" ht="17.350000000000001" customHeight="1" thickBot="1" x14ac:dyDescent="0.3">
      <c r="A21" s="18" t="s">
        <v>23</v>
      </c>
      <c r="B21" s="45"/>
      <c r="C21" s="56">
        <f>C9+C20</f>
        <v>2445048.15</v>
      </c>
      <c r="D21" s="56">
        <f>SUM(D9+D20)</f>
        <v>10327.83</v>
      </c>
      <c r="E21" s="56">
        <f>SUM(E9+E20)</f>
        <v>236735.84</v>
      </c>
      <c r="F21" s="56">
        <f>SUM(F9+F20)</f>
        <v>18082.09</v>
      </c>
      <c r="G21" s="56">
        <f>SUM(G9+G20)</f>
        <v>2710393.86</v>
      </c>
      <c r="H21" s="56">
        <f>H9+H20</f>
        <v>36540.35</v>
      </c>
      <c r="I21" s="56">
        <f t="shared" ref="I21:L21" si="8">SUM(I9+I20)</f>
        <v>3013.63</v>
      </c>
      <c r="J21" s="56">
        <f t="shared" si="8"/>
        <v>2754573.36</v>
      </c>
      <c r="K21" s="56">
        <f t="shared" si="8"/>
        <v>19637.73</v>
      </c>
      <c r="L21" s="56">
        <f t="shared" si="8"/>
        <v>6821.3600000000006</v>
      </c>
      <c r="M21" s="56">
        <f>SUM(M9+M20)</f>
        <v>2781032.45</v>
      </c>
      <c r="N21" s="56">
        <f>SUM(N9+N20)</f>
        <v>7056.42</v>
      </c>
      <c r="O21" s="56">
        <f>SUM(O9+O20)</f>
        <v>13333.38</v>
      </c>
      <c r="P21" s="56">
        <f>SUM(P9+P20)</f>
        <v>157.76000000000002</v>
      </c>
      <c r="Q21" s="106">
        <f t="shared" si="1"/>
        <v>2801580.01</v>
      </c>
      <c r="R21" s="87"/>
    </row>
    <row r="22" spans="1:18" ht="13.6" customHeight="1" thickBot="1" x14ac:dyDescent="0.3">
      <c r="A22" s="12"/>
      <c r="B22" s="47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01"/>
    </row>
    <row r="23" spans="1:18" ht="14.3" customHeight="1" thickBot="1" x14ac:dyDescent="0.3">
      <c r="A23" s="19" t="s">
        <v>24</v>
      </c>
      <c r="B23" s="9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104"/>
    </row>
    <row r="24" spans="1:18" ht="14.95" customHeight="1" thickBot="1" x14ac:dyDescent="0.3">
      <c r="A24" s="21" t="s">
        <v>367</v>
      </c>
      <c r="B24" s="30"/>
      <c r="C24" s="22">
        <f>SUM(C26:C44)</f>
        <v>8374</v>
      </c>
      <c r="D24" s="22">
        <f t="shared" ref="D24:F24" si="9">SUM(D27:D44)</f>
        <v>0</v>
      </c>
      <c r="E24" s="22">
        <f t="shared" si="9"/>
        <v>200</v>
      </c>
      <c r="F24" s="22">
        <f t="shared" si="9"/>
        <v>0</v>
      </c>
      <c r="G24" s="22">
        <f t="shared" ref="G24:L24" si="10">SUM(G26:G44)</f>
        <v>8574</v>
      </c>
      <c r="H24" s="22">
        <f t="shared" si="10"/>
        <v>0</v>
      </c>
      <c r="I24" s="22">
        <f t="shared" si="10"/>
        <v>0</v>
      </c>
      <c r="J24" s="22">
        <f t="shared" si="10"/>
        <v>8574</v>
      </c>
      <c r="K24" s="22">
        <f t="shared" si="10"/>
        <v>0</v>
      </c>
      <c r="L24" s="22">
        <f t="shared" si="10"/>
        <v>22.4</v>
      </c>
      <c r="M24" s="22">
        <f>SUM(M26:M44)</f>
        <v>8596.4</v>
      </c>
      <c r="N24" s="22">
        <f>SUM(N26:N44)</f>
        <v>0</v>
      </c>
      <c r="O24" s="22">
        <f>SUM(O26:O44)</f>
        <v>0</v>
      </c>
      <c r="P24" s="22">
        <f>SUM(P26:P44)</f>
        <v>0</v>
      </c>
      <c r="Q24" s="105">
        <f>SUM(M24:P24)</f>
        <v>8596.4</v>
      </c>
      <c r="R24" s="87"/>
    </row>
    <row r="25" spans="1:18" ht="12.9" customHeight="1" x14ac:dyDescent="0.25">
      <c r="A25" s="23" t="s">
        <v>25</v>
      </c>
      <c r="B25" s="27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99"/>
    </row>
    <row r="26" spans="1:18" ht="24.45" customHeight="1" x14ac:dyDescent="0.25">
      <c r="A26" s="28" t="s">
        <v>373</v>
      </c>
      <c r="B26" s="29" t="s">
        <v>374</v>
      </c>
      <c r="C26" s="8">
        <v>0</v>
      </c>
      <c r="D26" s="8"/>
      <c r="E26" s="8"/>
      <c r="F26" s="8"/>
      <c r="G26" s="8">
        <v>0</v>
      </c>
      <c r="H26" s="8">
        <v>0</v>
      </c>
      <c r="I26" s="8">
        <f>30</f>
        <v>30</v>
      </c>
      <c r="J26" s="8">
        <f>SUM(G26:I26)</f>
        <v>30</v>
      </c>
      <c r="K26" s="8">
        <v>0</v>
      </c>
      <c r="L26" s="8">
        <v>0</v>
      </c>
      <c r="M26" s="8">
        <f t="shared" si="0"/>
        <v>30</v>
      </c>
      <c r="N26" s="8">
        <v>0</v>
      </c>
      <c r="O26" s="8">
        <v>0</v>
      </c>
      <c r="P26" s="8">
        <v>0</v>
      </c>
      <c r="Q26" s="99">
        <f t="shared" si="1"/>
        <v>30</v>
      </c>
    </row>
    <row r="27" spans="1:18" ht="24.45" customHeight="1" x14ac:dyDescent="0.25">
      <c r="A27" s="28" t="s">
        <v>295</v>
      </c>
      <c r="B27" s="29" t="s">
        <v>296</v>
      </c>
      <c r="C27" s="8">
        <v>0</v>
      </c>
      <c r="D27" s="8">
        <f>50</f>
        <v>50</v>
      </c>
      <c r="E27" s="8">
        <v>0</v>
      </c>
      <c r="F27" s="8">
        <v>0</v>
      </c>
      <c r="G27" s="8">
        <f t="shared" si="2"/>
        <v>50</v>
      </c>
      <c r="H27" s="8">
        <v>0</v>
      </c>
      <c r="I27" s="8">
        <v>0</v>
      </c>
      <c r="J27" s="8">
        <f>SUM(G27:I27)</f>
        <v>50</v>
      </c>
      <c r="K27" s="8">
        <v>0</v>
      </c>
      <c r="L27" s="8">
        <v>0</v>
      </c>
      <c r="M27" s="8">
        <f t="shared" si="0"/>
        <v>50</v>
      </c>
      <c r="N27" s="8">
        <v>0</v>
      </c>
      <c r="O27" s="8">
        <v>0</v>
      </c>
      <c r="P27" s="8">
        <v>0</v>
      </c>
      <c r="Q27" s="99">
        <f t="shared" si="1"/>
        <v>50</v>
      </c>
    </row>
    <row r="28" spans="1:18" ht="14.95" customHeight="1" x14ac:dyDescent="0.25">
      <c r="A28" s="28" t="s">
        <v>358</v>
      </c>
      <c r="B28" s="29" t="s">
        <v>272</v>
      </c>
      <c r="C28" s="8">
        <v>0</v>
      </c>
      <c r="D28" s="8">
        <v>0</v>
      </c>
      <c r="E28" s="8">
        <v>0</v>
      </c>
      <c r="F28" s="8">
        <f>15</f>
        <v>15</v>
      </c>
      <c r="G28" s="8">
        <f t="shared" ref="G28:G34" si="11">SUM(C28:F28)</f>
        <v>15</v>
      </c>
      <c r="H28" s="8">
        <v>0</v>
      </c>
      <c r="I28" s="8">
        <v>0</v>
      </c>
      <c r="J28" s="8">
        <f>SUM(G28:I28)</f>
        <v>15</v>
      </c>
      <c r="K28" s="8">
        <v>0</v>
      </c>
      <c r="L28" s="8">
        <v>0</v>
      </c>
      <c r="M28" s="8">
        <f t="shared" si="0"/>
        <v>15</v>
      </c>
      <c r="N28" s="8">
        <v>0</v>
      </c>
      <c r="O28" s="8">
        <v>0</v>
      </c>
      <c r="P28" s="8">
        <v>0</v>
      </c>
      <c r="Q28" s="99">
        <f t="shared" si="1"/>
        <v>15</v>
      </c>
    </row>
    <row r="29" spans="1:18" ht="25.15" customHeight="1" x14ac:dyDescent="0.25">
      <c r="A29" s="28" t="s">
        <v>393</v>
      </c>
      <c r="B29" s="29" t="s">
        <v>251</v>
      </c>
      <c r="C29" s="8">
        <v>0</v>
      </c>
      <c r="D29" s="8"/>
      <c r="E29" s="8"/>
      <c r="F29" s="8"/>
      <c r="G29" s="8">
        <v>0</v>
      </c>
      <c r="H29" s="8">
        <v>0</v>
      </c>
      <c r="I29" s="8">
        <f>20</f>
        <v>20</v>
      </c>
      <c r="J29" s="8">
        <f>SUM(G29:I29)</f>
        <v>20</v>
      </c>
      <c r="K29" s="8">
        <v>0</v>
      </c>
      <c r="L29" s="8">
        <v>0</v>
      </c>
      <c r="M29" s="8">
        <f t="shared" si="0"/>
        <v>20</v>
      </c>
      <c r="N29" s="8">
        <v>0</v>
      </c>
      <c r="O29" s="8">
        <v>0</v>
      </c>
      <c r="P29" s="8">
        <v>0</v>
      </c>
      <c r="Q29" s="99">
        <f t="shared" si="1"/>
        <v>20</v>
      </c>
    </row>
    <row r="30" spans="1:18" ht="39.4" customHeight="1" x14ac:dyDescent="0.25">
      <c r="A30" s="28" t="s">
        <v>356</v>
      </c>
      <c r="B30" s="29" t="s">
        <v>357</v>
      </c>
      <c r="C30" s="8">
        <v>0</v>
      </c>
      <c r="D30" s="8">
        <v>0</v>
      </c>
      <c r="E30" s="8">
        <v>0</v>
      </c>
      <c r="F30" s="8">
        <f>15</f>
        <v>15</v>
      </c>
      <c r="G30" s="8">
        <f t="shared" si="11"/>
        <v>15</v>
      </c>
      <c r="H30" s="8">
        <v>0</v>
      </c>
      <c r="I30" s="8">
        <v>0</v>
      </c>
      <c r="J30" s="8">
        <f t="shared" si="3"/>
        <v>15</v>
      </c>
      <c r="K30" s="8">
        <v>0</v>
      </c>
      <c r="L30" s="8">
        <v>0</v>
      </c>
      <c r="M30" s="8">
        <f t="shared" si="0"/>
        <v>15</v>
      </c>
      <c r="N30" s="8">
        <v>0</v>
      </c>
      <c r="O30" s="8">
        <v>0</v>
      </c>
      <c r="P30" s="8">
        <v>0</v>
      </c>
      <c r="Q30" s="99">
        <f t="shared" si="1"/>
        <v>15</v>
      </c>
    </row>
    <row r="31" spans="1:18" ht="23.8" customHeight="1" x14ac:dyDescent="0.25">
      <c r="A31" s="28" t="s">
        <v>273</v>
      </c>
      <c r="B31" s="29" t="s">
        <v>274</v>
      </c>
      <c r="C31" s="8">
        <v>0</v>
      </c>
      <c r="D31" s="8">
        <f>50</f>
        <v>50</v>
      </c>
      <c r="E31" s="8">
        <v>0</v>
      </c>
      <c r="F31" s="8">
        <v>0</v>
      </c>
      <c r="G31" s="8">
        <f t="shared" si="11"/>
        <v>50</v>
      </c>
      <c r="H31" s="8">
        <v>0</v>
      </c>
      <c r="I31" s="8">
        <v>0</v>
      </c>
      <c r="J31" s="8">
        <f t="shared" si="3"/>
        <v>50</v>
      </c>
      <c r="K31" s="8">
        <v>0</v>
      </c>
      <c r="L31" s="8">
        <v>0</v>
      </c>
      <c r="M31" s="8">
        <f t="shared" si="0"/>
        <v>50</v>
      </c>
      <c r="N31" s="8">
        <v>0</v>
      </c>
      <c r="O31" s="8">
        <v>0</v>
      </c>
      <c r="P31" s="8">
        <v>0</v>
      </c>
      <c r="Q31" s="99">
        <f t="shared" si="1"/>
        <v>50</v>
      </c>
    </row>
    <row r="32" spans="1:18" ht="27.2" x14ac:dyDescent="0.25">
      <c r="A32" s="28" t="s">
        <v>340</v>
      </c>
      <c r="B32" s="29" t="s">
        <v>247</v>
      </c>
      <c r="C32" s="8">
        <v>0</v>
      </c>
      <c r="D32" s="8">
        <v>0</v>
      </c>
      <c r="E32" s="8">
        <v>0</v>
      </c>
      <c r="F32" s="8">
        <f>100</f>
        <v>100</v>
      </c>
      <c r="G32" s="8">
        <f t="shared" si="11"/>
        <v>100</v>
      </c>
      <c r="H32" s="8">
        <v>0</v>
      </c>
      <c r="I32" s="8">
        <v>0</v>
      </c>
      <c r="J32" s="8">
        <f t="shared" si="3"/>
        <v>100</v>
      </c>
      <c r="K32" s="8">
        <v>0</v>
      </c>
      <c r="L32" s="8">
        <v>0</v>
      </c>
      <c r="M32" s="8">
        <f t="shared" si="0"/>
        <v>100</v>
      </c>
      <c r="N32" s="8">
        <v>0</v>
      </c>
      <c r="O32" s="8">
        <v>0</v>
      </c>
      <c r="P32" s="8">
        <v>0</v>
      </c>
      <c r="Q32" s="99">
        <f t="shared" si="1"/>
        <v>100</v>
      </c>
    </row>
    <row r="33" spans="1:18" ht="25.15" customHeight="1" x14ac:dyDescent="0.25">
      <c r="A33" s="28" t="s">
        <v>271</v>
      </c>
      <c r="B33" s="29" t="s">
        <v>272</v>
      </c>
      <c r="C33" s="8">
        <v>0</v>
      </c>
      <c r="D33" s="8">
        <f>60</f>
        <v>60</v>
      </c>
      <c r="E33" s="8">
        <v>0</v>
      </c>
      <c r="F33" s="8">
        <v>0</v>
      </c>
      <c r="G33" s="8">
        <f t="shared" si="11"/>
        <v>60</v>
      </c>
      <c r="H33" s="8">
        <v>0</v>
      </c>
      <c r="I33" s="8">
        <v>0</v>
      </c>
      <c r="J33" s="8">
        <f t="shared" si="3"/>
        <v>60</v>
      </c>
      <c r="K33" s="8">
        <v>0</v>
      </c>
      <c r="L33" s="8">
        <v>0</v>
      </c>
      <c r="M33" s="8">
        <f t="shared" si="0"/>
        <v>60</v>
      </c>
      <c r="N33" s="8">
        <v>0</v>
      </c>
      <c r="O33" s="8">
        <v>0</v>
      </c>
      <c r="P33" s="8">
        <v>0</v>
      </c>
      <c r="Q33" s="99">
        <f t="shared" si="1"/>
        <v>60</v>
      </c>
    </row>
    <row r="34" spans="1:18" ht="23.8" customHeight="1" x14ac:dyDescent="0.25">
      <c r="A34" s="28" t="s">
        <v>309</v>
      </c>
      <c r="B34" s="29" t="s">
        <v>272</v>
      </c>
      <c r="C34" s="8">
        <v>0</v>
      </c>
      <c r="D34" s="8">
        <v>0</v>
      </c>
      <c r="E34" s="8">
        <v>0</v>
      </c>
      <c r="F34" s="8">
        <f>50</f>
        <v>50</v>
      </c>
      <c r="G34" s="8">
        <f t="shared" si="11"/>
        <v>50</v>
      </c>
      <c r="H34" s="8">
        <v>0</v>
      </c>
      <c r="I34" s="8">
        <v>0</v>
      </c>
      <c r="J34" s="8">
        <f t="shared" si="3"/>
        <v>50</v>
      </c>
      <c r="K34" s="8">
        <v>0</v>
      </c>
      <c r="L34" s="8">
        <v>0</v>
      </c>
      <c r="M34" s="8">
        <f>SUM(J34:L34)</f>
        <v>50</v>
      </c>
      <c r="N34" s="8">
        <v>0</v>
      </c>
      <c r="O34" s="8">
        <v>0</v>
      </c>
      <c r="P34" s="8">
        <v>0</v>
      </c>
      <c r="Q34" s="99">
        <f t="shared" si="1"/>
        <v>50</v>
      </c>
    </row>
    <row r="35" spans="1:18" ht="24.45" customHeight="1" x14ac:dyDescent="0.25">
      <c r="A35" s="28" t="s">
        <v>445</v>
      </c>
      <c r="B35" s="29" t="s">
        <v>374</v>
      </c>
      <c r="C35" s="8">
        <v>0</v>
      </c>
      <c r="D35" s="8"/>
      <c r="E35" s="8"/>
      <c r="F35" s="8"/>
      <c r="G35" s="8"/>
      <c r="H35" s="8"/>
      <c r="I35" s="8"/>
      <c r="J35" s="8">
        <v>0</v>
      </c>
      <c r="K35" s="8">
        <v>0</v>
      </c>
      <c r="L35" s="8">
        <f>30</f>
        <v>30</v>
      </c>
      <c r="M35" s="8">
        <f>SUM(J35:L35)</f>
        <v>30</v>
      </c>
      <c r="N35" s="8">
        <v>0</v>
      </c>
      <c r="O35" s="8">
        <v>0</v>
      </c>
      <c r="P35" s="8">
        <v>0</v>
      </c>
      <c r="Q35" s="99">
        <f t="shared" si="1"/>
        <v>30</v>
      </c>
    </row>
    <row r="36" spans="1:18" ht="24.45" customHeight="1" x14ac:dyDescent="0.25">
      <c r="A36" s="28" t="s">
        <v>260</v>
      </c>
      <c r="B36" s="29" t="s">
        <v>251</v>
      </c>
      <c r="C36" s="8">
        <v>0</v>
      </c>
      <c r="D36" s="8">
        <f>35</f>
        <v>35</v>
      </c>
      <c r="E36" s="8">
        <v>0</v>
      </c>
      <c r="F36" s="8">
        <v>0</v>
      </c>
      <c r="G36" s="8">
        <f t="shared" si="2"/>
        <v>35</v>
      </c>
      <c r="H36" s="8">
        <v>0</v>
      </c>
      <c r="I36" s="8">
        <v>0</v>
      </c>
      <c r="J36" s="8">
        <f t="shared" si="3"/>
        <v>35</v>
      </c>
      <c r="K36" s="8">
        <v>0</v>
      </c>
      <c r="L36" s="8">
        <v>0</v>
      </c>
      <c r="M36" s="8">
        <f t="shared" si="0"/>
        <v>35</v>
      </c>
      <c r="N36" s="8">
        <v>0</v>
      </c>
      <c r="O36" s="8">
        <v>0</v>
      </c>
      <c r="P36" s="8">
        <v>0</v>
      </c>
      <c r="Q36" s="99">
        <f t="shared" si="1"/>
        <v>35</v>
      </c>
    </row>
    <row r="37" spans="1:18" ht="26.5" customHeight="1" x14ac:dyDescent="0.25">
      <c r="A37" s="28" t="s">
        <v>310</v>
      </c>
      <c r="B37" s="29" t="s">
        <v>247</v>
      </c>
      <c r="C37" s="8">
        <v>0</v>
      </c>
      <c r="D37" s="8">
        <v>0</v>
      </c>
      <c r="E37" s="8">
        <v>0</v>
      </c>
      <c r="F37" s="8">
        <f>30</f>
        <v>30</v>
      </c>
      <c r="G37" s="8">
        <f>SUM(C37:F37)</f>
        <v>30</v>
      </c>
      <c r="H37" s="8">
        <v>0</v>
      </c>
      <c r="I37" s="8">
        <v>0</v>
      </c>
      <c r="J37" s="8">
        <f t="shared" si="3"/>
        <v>30</v>
      </c>
      <c r="K37" s="8">
        <v>0</v>
      </c>
      <c r="L37" s="8">
        <v>0</v>
      </c>
      <c r="M37" s="8">
        <f t="shared" si="0"/>
        <v>30</v>
      </c>
      <c r="N37" s="8">
        <v>0</v>
      </c>
      <c r="O37" s="8">
        <v>0</v>
      </c>
      <c r="P37" s="8">
        <v>0</v>
      </c>
      <c r="Q37" s="99">
        <f t="shared" si="1"/>
        <v>30</v>
      </c>
    </row>
    <row r="38" spans="1:18" ht="25.15" customHeight="1" x14ac:dyDescent="0.25">
      <c r="A38" s="28" t="s">
        <v>355</v>
      </c>
      <c r="B38" s="29" t="s">
        <v>272</v>
      </c>
      <c r="C38" s="8">
        <v>0</v>
      </c>
      <c r="D38" s="8">
        <v>0</v>
      </c>
      <c r="E38" s="8">
        <v>0</v>
      </c>
      <c r="F38" s="8">
        <f>20</f>
        <v>20</v>
      </c>
      <c r="G38" s="8">
        <f>SUM(C38:F38)</f>
        <v>20</v>
      </c>
      <c r="H38" s="8">
        <v>0</v>
      </c>
      <c r="I38" s="8">
        <v>0</v>
      </c>
      <c r="J38" s="8">
        <f t="shared" si="3"/>
        <v>20</v>
      </c>
      <c r="K38" s="8">
        <v>0</v>
      </c>
      <c r="L38" s="8">
        <v>0</v>
      </c>
      <c r="M38" s="8">
        <f t="shared" si="0"/>
        <v>20</v>
      </c>
      <c r="N38" s="8">
        <v>0</v>
      </c>
      <c r="O38" s="8">
        <v>0</v>
      </c>
      <c r="P38" s="8">
        <v>0</v>
      </c>
      <c r="Q38" s="99">
        <f t="shared" si="1"/>
        <v>20</v>
      </c>
    </row>
    <row r="39" spans="1:18" ht="25.15" customHeight="1" x14ac:dyDescent="0.25">
      <c r="A39" s="28" t="s">
        <v>290</v>
      </c>
      <c r="B39" s="29" t="s">
        <v>261</v>
      </c>
      <c r="C39" s="8">
        <v>0</v>
      </c>
      <c r="D39" s="8">
        <f>10</f>
        <v>10</v>
      </c>
      <c r="E39" s="8">
        <v>0</v>
      </c>
      <c r="F39" s="8">
        <v>0</v>
      </c>
      <c r="G39" s="8">
        <f t="shared" si="2"/>
        <v>10</v>
      </c>
      <c r="H39" s="8">
        <v>0</v>
      </c>
      <c r="I39" s="8">
        <v>0</v>
      </c>
      <c r="J39" s="8">
        <f t="shared" si="3"/>
        <v>10</v>
      </c>
      <c r="K39" s="8">
        <v>0</v>
      </c>
      <c r="L39" s="8">
        <v>0</v>
      </c>
      <c r="M39" s="8">
        <f t="shared" si="0"/>
        <v>10</v>
      </c>
      <c r="N39" s="8">
        <v>0</v>
      </c>
      <c r="O39" s="8">
        <v>0</v>
      </c>
      <c r="P39" s="8">
        <v>0</v>
      </c>
      <c r="Q39" s="99">
        <f t="shared" si="1"/>
        <v>10</v>
      </c>
    </row>
    <row r="40" spans="1:18" ht="25.5" customHeight="1" x14ac:dyDescent="0.25">
      <c r="A40" s="28" t="s">
        <v>341</v>
      </c>
      <c r="B40" s="29" t="s">
        <v>251</v>
      </c>
      <c r="C40" s="8">
        <v>0</v>
      </c>
      <c r="D40" s="8">
        <v>0</v>
      </c>
      <c r="E40" s="8">
        <v>0</v>
      </c>
      <c r="F40" s="8">
        <f>20</f>
        <v>20</v>
      </c>
      <c r="G40" s="8">
        <f>SUM(C40:F40)</f>
        <v>20</v>
      </c>
      <c r="H40" s="8">
        <v>0</v>
      </c>
      <c r="I40" s="8">
        <v>0</v>
      </c>
      <c r="J40" s="8">
        <f t="shared" si="3"/>
        <v>20</v>
      </c>
      <c r="K40" s="8">
        <v>0</v>
      </c>
      <c r="L40" s="8">
        <v>0</v>
      </c>
      <c r="M40" s="8">
        <f t="shared" si="0"/>
        <v>20</v>
      </c>
      <c r="N40" s="8">
        <v>0</v>
      </c>
      <c r="O40" s="8">
        <v>0</v>
      </c>
      <c r="P40" s="8">
        <v>0</v>
      </c>
      <c r="Q40" s="99">
        <f t="shared" si="1"/>
        <v>20</v>
      </c>
    </row>
    <row r="41" spans="1:18" ht="23.8" customHeight="1" x14ac:dyDescent="0.25">
      <c r="A41" s="28" t="s">
        <v>294</v>
      </c>
      <c r="B41" s="29" t="s">
        <v>272</v>
      </c>
      <c r="C41" s="8">
        <v>0</v>
      </c>
      <c r="D41" s="8">
        <f>60</f>
        <v>60</v>
      </c>
      <c r="E41" s="8">
        <v>0</v>
      </c>
      <c r="F41" s="8">
        <v>0</v>
      </c>
      <c r="G41" s="8">
        <f t="shared" si="2"/>
        <v>60</v>
      </c>
      <c r="H41" s="8">
        <v>0</v>
      </c>
      <c r="I41" s="8">
        <v>0</v>
      </c>
      <c r="J41" s="8">
        <f t="shared" si="3"/>
        <v>60</v>
      </c>
      <c r="K41" s="8">
        <v>0</v>
      </c>
      <c r="L41" s="8">
        <v>0</v>
      </c>
      <c r="M41" s="8">
        <f t="shared" si="0"/>
        <v>60</v>
      </c>
      <c r="N41" s="8">
        <v>0</v>
      </c>
      <c r="O41" s="8">
        <v>0</v>
      </c>
      <c r="P41" s="8">
        <v>0</v>
      </c>
      <c r="Q41" s="99">
        <f t="shared" si="1"/>
        <v>60</v>
      </c>
    </row>
    <row r="42" spans="1:18" ht="51.65" customHeight="1" x14ac:dyDescent="0.25">
      <c r="A42" s="28" t="s">
        <v>291</v>
      </c>
      <c r="B42" s="29" t="s">
        <v>270</v>
      </c>
      <c r="C42" s="8">
        <v>0</v>
      </c>
      <c r="D42" s="8">
        <f>50</f>
        <v>50</v>
      </c>
      <c r="E42" s="8">
        <v>0</v>
      </c>
      <c r="F42" s="8">
        <v>0</v>
      </c>
      <c r="G42" s="8">
        <f t="shared" si="2"/>
        <v>50</v>
      </c>
      <c r="H42" s="8">
        <v>0</v>
      </c>
      <c r="I42" s="8">
        <v>0</v>
      </c>
      <c r="J42" s="8">
        <f t="shared" si="3"/>
        <v>50</v>
      </c>
      <c r="K42" s="8">
        <v>0</v>
      </c>
      <c r="L42" s="8">
        <v>0</v>
      </c>
      <c r="M42" s="8">
        <f t="shared" si="0"/>
        <v>50</v>
      </c>
      <c r="N42" s="8">
        <v>0</v>
      </c>
      <c r="O42" s="8">
        <v>0</v>
      </c>
      <c r="P42" s="8">
        <v>0</v>
      </c>
      <c r="Q42" s="99">
        <f t="shared" si="1"/>
        <v>50</v>
      </c>
    </row>
    <row r="43" spans="1:18" ht="14.95" customHeight="1" x14ac:dyDescent="0.25">
      <c r="A43" s="28" t="s">
        <v>259</v>
      </c>
      <c r="B43" s="29" t="s">
        <v>247</v>
      </c>
      <c r="C43" s="8">
        <v>0</v>
      </c>
      <c r="D43" s="8">
        <f>80</f>
        <v>80</v>
      </c>
      <c r="E43" s="8">
        <v>0</v>
      </c>
      <c r="F43" s="8">
        <v>0</v>
      </c>
      <c r="G43" s="8">
        <f t="shared" si="2"/>
        <v>80</v>
      </c>
      <c r="H43" s="8">
        <v>0</v>
      </c>
      <c r="I43" s="8">
        <v>0</v>
      </c>
      <c r="J43" s="8">
        <f t="shared" si="3"/>
        <v>80</v>
      </c>
      <c r="K43" s="8">
        <v>0</v>
      </c>
      <c r="L43" s="8">
        <v>0</v>
      </c>
      <c r="M43" s="8">
        <f t="shared" si="0"/>
        <v>80</v>
      </c>
      <c r="N43" s="8">
        <v>0</v>
      </c>
      <c r="O43" s="8">
        <v>0</v>
      </c>
      <c r="P43" s="8">
        <v>0</v>
      </c>
      <c r="Q43" s="99">
        <f t="shared" si="1"/>
        <v>80</v>
      </c>
    </row>
    <row r="44" spans="1:18" ht="14.95" customHeight="1" thickBot="1" x14ac:dyDescent="0.3">
      <c r="A44" s="24" t="s">
        <v>339</v>
      </c>
      <c r="B44" s="25"/>
      <c r="C44" s="10">
        <v>8374</v>
      </c>
      <c r="D44" s="10">
        <f>-125-160-110</f>
        <v>-395</v>
      </c>
      <c r="E44" s="10">
        <v>200</v>
      </c>
      <c r="F44" s="10">
        <f>-80-120-50</f>
        <v>-250</v>
      </c>
      <c r="G44" s="10">
        <f t="shared" si="2"/>
        <v>7929</v>
      </c>
      <c r="H44" s="10">
        <v>0</v>
      </c>
      <c r="I44" s="10">
        <f>-30-20</f>
        <v>-50</v>
      </c>
      <c r="J44" s="10">
        <f t="shared" si="3"/>
        <v>7879</v>
      </c>
      <c r="K44" s="10">
        <v>0</v>
      </c>
      <c r="L44" s="10">
        <f>22.4-30</f>
        <v>-7.6000000000000014</v>
      </c>
      <c r="M44" s="10">
        <f t="shared" si="0"/>
        <v>7871.4</v>
      </c>
      <c r="N44" s="10">
        <v>0</v>
      </c>
      <c r="O44" s="10">
        <v>0</v>
      </c>
      <c r="P44" s="10">
        <v>0</v>
      </c>
      <c r="Q44" s="101">
        <f>SUM(M44:P44)</f>
        <v>7871.4</v>
      </c>
    </row>
    <row r="45" spans="1:18" ht="15.65" customHeight="1" thickBot="1" x14ac:dyDescent="0.3">
      <c r="A45" s="21" t="s">
        <v>26</v>
      </c>
      <c r="B45" s="30"/>
      <c r="C45" s="86">
        <f>SUM(C47:C49)</f>
        <v>361210</v>
      </c>
      <c r="D45" s="86">
        <f t="shared" ref="D45:I45" si="12">SUM(D47:D49)</f>
        <v>0</v>
      </c>
      <c r="E45" s="86">
        <f t="shared" si="12"/>
        <v>0</v>
      </c>
      <c r="F45" s="86">
        <f t="shared" si="12"/>
        <v>29.749999999999993</v>
      </c>
      <c r="G45" s="86">
        <f t="shared" si="12"/>
        <v>361189.15</v>
      </c>
      <c r="H45" s="86">
        <f t="shared" si="12"/>
        <v>0</v>
      </c>
      <c r="I45" s="86">
        <f t="shared" si="12"/>
        <v>1136.3</v>
      </c>
      <c r="J45" s="22">
        <f t="shared" ref="J45:O45" si="13">SUM(J47:J49)</f>
        <v>362228.73000000004</v>
      </c>
      <c r="K45" s="22">
        <f t="shared" si="13"/>
        <v>2640</v>
      </c>
      <c r="L45" s="22">
        <f t="shared" si="13"/>
        <v>-55</v>
      </c>
      <c r="M45" s="22">
        <f t="shared" si="13"/>
        <v>364813.73000000004</v>
      </c>
      <c r="N45" s="22">
        <f t="shared" si="13"/>
        <v>293.66000000000003</v>
      </c>
      <c r="O45" s="22">
        <f t="shared" si="13"/>
        <v>700</v>
      </c>
      <c r="P45" s="22">
        <f>SUM(P47:P49)</f>
        <v>0</v>
      </c>
      <c r="Q45" s="105">
        <f t="shared" si="1"/>
        <v>365807.39</v>
      </c>
      <c r="R45" s="87"/>
    </row>
    <row r="46" spans="1:18" ht="12.25" customHeight="1" x14ac:dyDescent="0.25">
      <c r="A46" s="23" t="s">
        <v>25</v>
      </c>
      <c r="B46" s="27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99"/>
    </row>
    <row r="47" spans="1:18" ht="14.95" customHeight="1" x14ac:dyDescent="0.25">
      <c r="A47" s="28" t="s">
        <v>27</v>
      </c>
      <c r="B47" s="29"/>
      <c r="C47" s="8">
        <v>700</v>
      </c>
      <c r="D47" s="8">
        <v>0</v>
      </c>
      <c r="E47" s="8">
        <v>0</v>
      </c>
      <c r="F47" s="8">
        <f>26.45+44.57+18.63</f>
        <v>89.649999999999991</v>
      </c>
      <c r="G47" s="8">
        <f t="shared" si="2"/>
        <v>789.65</v>
      </c>
      <c r="H47" s="8">
        <v>0</v>
      </c>
      <c r="I47" s="8">
        <v>0</v>
      </c>
      <c r="J47" s="8">
        <f t="shared" si="3"/>
        <v>789.65</v>
      </c>
      <c r="K47" s="8">
        <v>0</v>
      </c>
      <c r="L47" s="8">
        <f>-55</f>
        <v>-55</v>
      </c>
      <c r="M47" s="8">
        <f t="shared" si="0"/>
        <v>734.65</v>
      </c>
      <c r="N47" s="8">
        <f>55+293.66</f>
        <v>348.66</v>
      </c>
      <c r="O47" s="8">
        <v>0</v>
      </c>
      <c r="P47" s="8">
        <f>-252</f>
        <v>-252</v>
      </c>
      <c r="Q47" s="99">
        <f t="shared" si="1"/>
        <v>831.31</v>
      </c>
    </row>
    <row r="48" spans="1:18" ht="14.95" customHeight="1" x14ac:dyDescent="0.25">
      <c r="A48" s="28" t="s">
        <v>28</v>
      </c>
      <c r="B48" s="29"/>
      <c r="C48" s="8">
        <v>14142</v>
      </c>
      <c r="D48" s="8">
        <v>0</v>
      </c>
      <c r="E48" s="8">
        <v>0</v>
      </c>
      <c r="F48" s="8">
        <v>0</v>
      </c>
      <c r="G48" s="8">
        <f t="shared" si="2"/>
        <v>14142</v>
      </c>
      <c r="H48" s="8">
        <v>0</v>
      </c>
      <c r="I48" s="8">
        <v>0</v>
      </c>
      <c r="J48" s="8">
        <f t="shared" si="3"/>
        <v>14142</v>
      </c>
      <c r="K48" s="8">
        <v>0</v>
      </c>
      <c r="L48" s="8">
        <v>0</v>
      </c>
      <c r="M48" s="8">
        <f t="shared" si="0"/>
        <v>14142</v>
      </c>
      <c r="N48" s="8">
        <v>0</v>
      </c>
      <c r="O48" s="8">
        <v>0</v>
      </c>
      <c r="P48" s="8">
        <v>0</v>
      </c>
      <c r="Q48" s="99">
        <f t="shared" si="1"/>
        <v>14142</v>
      </c>
    </row>
    <row r="49" spans="1:18" ht="14.95" customHeight="1" thickBot="1" x14ac:dyDescent="0.3">
      <c r="A49" s="24" t="s">
        <v>29</v>
      </c>
      <c r="B49" s="25"/>
      <c r="C49" s="10">
        <v>346368</v>
      </c>
      <c r="D49" s="10">
        <v>0</v>
      </c>
      <c r="E49" s="10">
        <v>0</v>
      </c>
      <c r="F49" s="10">
        <f>-59.9</f>
        <v>-59.9</v>
      </c>
      <c r="G49" s="10">
        <f>SUM(C49:F49)-50.6</f>
        <v>346257.5</v>
      </c>
      <c r="H49" s="10">
        <v>0</v>
      </c>
      <c r="I49" s="10">
        <f>1136.3</f>
        <v>1136.3</v>
      </c>
      <c r="J49" s="10">
        <f>SUM(G49:I49)-96.72</f>
        <v>347297.08</v>
      </c>
      <c r="K49" s="10">
        <f>2640</f>
        <v>2640</v>
      </c>
      <c r="L49" s="10">
        <v>0</v>
      </c>
      <c r="M49" s="10">
        <f t="shared" si="0"/>
        <v>349937.08</v>
      </c>
      <c r="N49" s="10">
        <f>-55</f>
        <v>-55</v>
      </c>
      <c r="O49" s="10">
        <f>700</f>
        <v>700</v>
      </c>
      <c r="P49" s="10">
        <f>252</f>
        <v>252</v>
      </c>
      <c r="Q49" s="101">
        <f t="shared" si="1"/>
        <v>350834.08</v>
      </c>
    </row>
    <row r="50" spans="1:18" ht="15.65" customHeight="1" thickBot="1" x14ac:dyDescent="0.3">
      <c r="A50" s="21" t="s">
        <v>30</v>
      </c>
      <c r="B50" s="30"/>
      <c r="C50" s="22">
        <f>SUM(C52:C57)</f>
        <v>52366</v>
      </c>
      <c r="D50" s="22">
        <f t="shared" ref="D50:I50" si="14">SUM(D52:D57)</f>
        <v>483.3</v>
      </c>
      <c r="E50" s="22">
        <f t="shared" si="14"/>
        <v>19763.5</v>
      </c>
      <c r="F50" s="22">
        <f t="shared" si="14"/>
        <v>0</v>
      </c>
      <c r="G50" s="22">
        <f t="shared" si="14"/>
        <v>72612.800000000003</v>
      </c>
      <c r="H50" s="22">
        <f t="shared" si="14"/>
        <v>6086.35</v>
      </c>
      <c r="I50" s="22">
        <f t="shared" si="14"/>
        <v>0</v>
      </c>
      <c r="J50" s="22">
        <f t="shared" ref="J50:O50" si="15">SUM(J52:J57)</f>
        <v>78699.149999999994</v>
      </c>
      <c r="K50" s="22">
        <f t="shared" si="15"/>
        <v>1360.21</v>
      </c>
      <c r="L50" s="22">
        <f t="shared" si="15"/>
        <v>0</v>
      </c>
      <c r="M50" s="22">
        <f t="shared" si="15"/>
        <v>80059.360000000001</v>
      </c>
      <c r="N50" s="22">
        <f t="shared" si="15"/>
        <v>0</v>
      </c>
      <c r="O50" s="22">
        <f t="shared" si="15"/>
        <v>4733.38</v>
      </c>
      <c r="P50" s="22">
        <f>SUM(P52:P57)</f>
        <v>0</v>
      </c>
      <c r="Q50" s="105">
        <f t="shared" si="1"/>
        <v>84792.74</v>
      </c>
      <c r="R50" s="87"/>
    </row>
    <row r="51" spans="1:18" ht="11.55" customHeight="1" x14ac:dyDescent="0.25">
      <c r="A51" s="23" t="s">
        <v>25</v>
      </c>
      <c r="B51" s="27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99"/>
    </row>
    <row r="52" spans="1:18" ht="14.95" customHeight="1" x14ac:dyDescent="0.25">
      <c r="A52" s="17" t="s">
        <v>31</v>
      </c>
      <c r="B52" s="31" t="s">
        <v>360</v>
      </c>
      <c r="C52" s="8">
        <v>0</v>
      </c>
      <c r="D52" s="8">
        <f>25</f>
        <v>25</v>
      </c>
      <c r="E52" s="8">
        <v>0</v>
      </c>
      <c r="F52" s="8">
        <v>0</v>
      </c>
      <c r="G52" s="8">
        <f t="shared" si="2"/>
        <v>25</v>
      </c>
      <c r="H52" s="8">
        <v>0</v>
      </c>
      <c r="I52" s="8">
        <v>0</v>
      </c>
      <c r="J52" s="8">
        <f t="shared" si="3"/>
        <v>25</v>
      </c>
      <c r="K52" s="8">
        <v>0</v>
      </c>
      <c r="L52" s="8">
        <v>0</v>
      </c>
      <c r="M52" s="8">
        <f t="shared" si="0"/>
        <v>25</v>
      </c>
      <c r="N52" s="8">
        <v>0</v>
      </c>
      <c r="O52" s="8">
        <v>0</v>
      </c>
      <c r="P52" s="8">
        <v>0</v>
      </c>
      <c r="Q52" s="99">
        <f t="shared" si="1"/>
        <v>25</v>
      </c>
    </row>
    <row r="53" spans="1:18" ht="14.95" customHeight="1" x14ac:dyDescent="0.25">
      <c r="A53" s="28" t="s">
        <v>369</v>
      </c>
      <c r="B53" s="33" t="s">
        <v>361</v>
      </c>
      <c r="C53" s="8">
        <v>16000</v>
      </c>
      <c r="D53" s="8">
        <v>0</v>
      </c>
      <c r="E53" s="8">
        <v>0</v>
      </c>
      <c r="F53" s="8">
        <v>0</v>
      </c>
      <c r="G53" s="8">
        <f t="shared" si="2"/>
        <v>16000</v>
      </c>
      <c r="H53" s="8">
        <v>4000</v>
      </c>
      <c r="I53" s="8">
        <v>0</v>
      </c>
      <c r="J53" s="8">
        <f t="shared" si="3"/>
        <v>20000</v>
      </c>
      <c r="K53" s="8">
        <v>0</v>
      </c>
      <c r="L53" s="8">
        <v>0</v>
      </c>
      <c r="M53" s="8">
        <f t="shared" si="0"/>
        <v>20000</v>
      </c>
      <c r="N53" s="8">
        <v>0</v>
      </c>
      <c r="O53" s="8">
        <v>0</v>
      </c>
      <c r="P53" s="8">
        <v>0</v>
      </c>
      <c r="Q53" s="99">
        <f t="shared" si="1"/>
        <v>20000</v>
      </c>
    </row>
    <row r="54" spans="1:18" ht="14.95" customHeight="1" x14ac:dyDescent="0.25">
      <c r="A54" s="28" t="s">
        <v>33</v>
      </c>
      <c r="B54" s="29"/>
      <c r="C54" s="8">
        <v>5000</v>
      </c>
      <c r="D54" s="8">
        <v>0</v>
      </c>
      <c r="E54" s="8">
        <v>0</v>
      </c>
      <c r="F54" s="8">
        <v>0</v>
      </c>
      <c r="G54" s="8">
        <f t="shared" si="2"/>
        <v>5000</v>
      </c>
      <c r="H54" s="8">
        <v>2086.35</v>
      </c>
      <c r="I54" s="8">
        <v>0</v>
      </c>
      <c r="J54" s="8">
        <f t="shared" si="3"/>
        <v>7086.35</v>
      </c>
      <c r="K54" s="8">
        <f>1360.21</f>
        <v>1360.21</v>
      </c>
      <c r="L54" s="8">
        <v>0</v>
      </c>
      <c r="M54" s="8">
        <f t="shared" si="0"/>
        <v>8446.5600000000013</v>
      </c>
      <c r="N54" s="8">
        <v>0</v>
      </c>
      <c r="O54" s="8">
        <v>0</v>
      </c>
      <c r="P54" s="8">
        <v>0</v>
      </c>
      <c r="Q54" s="99">
        <f t="shared" si="1"/>
        <v>8446.5600000000013</v>
      </c>
    </row>
    <row r="55" spans="1:18" ht="14.95" customHeight="1" x14ac:dyDescent="0.25">
      <c r="A55" s="28" t="s">
        <v>34</v>
      </c>
      <c r="B55" s="29"/>
      <c r="C55" s="8">
        <v>200</v>
      </c>
      <c r="D55" s="8">
        <v>0</v>
      </c>
      <c r="E55" s="8">
        <v>0</v>
      </c>
      <c r="F55" s="8">
        <v>0</v>
      </c>
      <c r="G55" s="8">
        <f t="shared" si="2"/>
        <v>200</v>
      </c>
      <c r="H55" s="8">
        <v>0</v>
      </c>
      <c r="I55" s="8">
        <v>0</v>
      </c>
      <c r="J55" s="8">
        <f t="shared" si="3"/>
        <v>200</v>
      </c>
      <c r="K55" s="8">
        <v>0</v>
      </c>
      <c r="L55" s="8">
        <v>0</v>
      </c>
      <c r="M55" s="8">
        <f t="shared" si="0"/>
        <v>200</v>
      </c>
      <c r="N55" s="8">
        <v>0</v>
      </c>
      <c r="O55" s="8">
        <v>0</v>
      </c>
      <c r="P55" s="8">
        <v>0</v>
      </c>
      <c r="Q55" s="99">
        <f t="shared" si="1"/>
        <v>200</v>
      </c>
    </row>
    <row r="56" spans="1:18" ht="14.95" customHeight="1" x14ac:dyDescent="0.25">
      <c r="A56" s="28" t="s">
        <v>35</v>
      </c>
      <c r="B56" s="29"/>
      <c r="C56" s="8">
        <v>1000</v>
      </c>
      <c r="D56" s="8">
        <v>0</v>
      </c>
      <c r="E56" s="8">
        <v>0</v>
      </c>
      <c r="F56" s="8">
        <v>0</v>
      </c>
      <c r="G56" s="8">
        <f t="shared" si="2"/>
        <v>1000</v>
      </c>
      <c r="H56" s="8">
        <v>0</v>
      </c>
      <c r="I56" s="8">
        <v>0</v>
      </c>
      <c r="J56" s="8">
        <f t="shared" si="3"/>
        <v>1000</v>
      </c>
      <c r="K56" s="8">
        <v>0</v>
      </c>
      <c r="L56" s="8">
        <v>0</v>
      </c>
      <c r="M56" s="8">
        <f t="shared" si="0"/>
        <v>1000</v>
      </c>
      <c r="N56" s="8">
        <v>0</v>
      </c>
      <c r="O56" s="8">
        <f>-1000</f>
        <v>-1000</v>
      </c>
      <c r="P56" s="8">
        <v>0</v>
      </c>
      <c r="Q56" s="99">
        <f t="shared" si="1"/>
        <v>0</v>
      </c>
    </row>
    <row r="57" spans="1:18" ht="14.95" customHeight="1" thickBot="1" x14ac:dyDescent="0.3">
      <c r="A57" s="24" t="s">
        <v>36</v>
      </c>
      <c r="B57" s="25"/>
      <c r="C57" s="10">
        <v>30166</v>
      </c>
      <c r="D57" s="10">
        <f>458.3</f>
        <v>458.3</v>
      </c>
      <c r="E57" s="10">
        <v>19763.5</v>
      </c>
      <c r="F57" s="10">
        <v>0</v>
      </c>
      <c r="G57" s="10">
        <f t="shared" si="2"/>
        <v>50387.8</v>
      </c>
      <c r="H57" s="10">
        <v>0</v>
      </c>
      <c r="I57" s="10">
        <v>0</v>
      </c>
      <c r="J57" s="10">
        <f t="shared" si="3"/>
        <v>50387.8</v>
      </c>
      <c r="K57" s="10">
        <v>0</v>
      </c>
      <c r="L57" s="10">
        <v>0</v>
      </c>
      <c r="M57" s="10">
        <f t="shared" si="0"/>
        <v>50387.8</v>
      </c>
      <c r="N57" s="10">
        <v>0</v>
      </c>
      <c r="O57" s="10">
        <f>5733.38</f>
        <v>5733.38</v>
      </c>
      <c r="P57" s="10">
        <v>0</v>
      </c>
      <c r="Q57" s="101">
        <f t="shared" si="1"/>
        <v>56121.18</v>
      </c>
    </row>
    <row r="58" spans="1:18" ht="15.65" customHeight="1" thickBot="1" x14ac:dyDescent="0.3">
      <c r="A58" s="21" t="s">
        <v>37</v>
      </c>
      <c r="B58" s="26"/>
      <c r="C58" s="22">
        <f t="shared" ref="C58:I58" si="16">SUM(C60:C61)</f>
        <v>148159.5</v>
      </c>
      <c r="D58" s="22">
        <f t="shared" si="16"/>
        <v>-5092.71</v>
      </c>
      <c r="E58" s="22">
        <f t="shared" si="16"/>
        <v>16468.73</v>
      </c>
      <c r="F58" s="22">
        <f t="shared" si="16"/>
        <v>-2620.85</v>
      </c>
      <c r="G58" s="22">
        <f t="shared" si="16"/>
        <v>155922.18</v>
      </c>
      <c r="H58" s="22">
        <f t="shared" si="16"/>
        <v>437.15999999999985</v>
      </c>
      <c r="I58" s="22">
        <f t="shared" si="16"/>
        <v>-4207.49</v>
      </c>
      <c r="J58" s="22">
        <f t="shared" ref="J58:O58" si="17">SUM(J60:J61)</f>
        <v>153343.87</v>
      </c>
      <c r="K58" s="22">
        <f t="shared" si="17"/>
        <v>6000</v>
      </c>
      <c r="L58" s="22">
        <f t="shared" si="17"/>
        <v>1299.78</v>
      </c>
      <c r="M58" s="22">
        <f t="shared" si="17"/>
        <v>160643.64999999997</v>
      </c>
      <c r="N58" s="22">
        <f t="shared" si="17"/>
        <v>321.92000000000013</v>
      </c>
      <c r="O58" s="22">
        <f t="shared" si="17"/>
        <v>-8489</v>
      </c>
      <c r="P58" s="22">
        <f>SUM(P60:P61)</f>
        <v>574.55999999999995</v>
      </c>
      <c r="Q58" s="105">
        <f>SUM(M58:P58)</f>
        <v>153051.12999999998</v>
      </c>
      <c r="R58" s="87"/>
    </row>
    <row r="59" spans="1:18" ht="11.55" customHeight="1" x14ac:dyDescent="0.25">
      <c r="A59" s="23" t="s">
        <v>25</v>
      </c>
      <c r="B59" s="27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99"/>
    </row>
    <row r="60" spans="1:18" ht="14.95" customHeight="1" x14ac:dyDescent="0.25">
      <c r="A60" s="28" t="s">
        <v>27</v>
      </c>
      <c r="B60" s="29"/>
      <c r="C60" s="8">
        <v>57641</v>
      </c>
      <c r="D60" s="8">
        <f>-4985-1126.39+167.01+1105.13</f>
        <v>-4839.25</v>
      </c>
      <c r="E60" s="8">
        <v>15448.15</v>
      </c>
      <c r="F60" s="8">
        <f>-1132.37-1069.48-71-348</f>
        <v>-2620.85</v>
      </c>
      <c r="G60" s="8">
        <f>SUM(C60:F60)-962.49</f>
        <v>64666.55999999999</v>
      </c>
      <c r="H60" s="8">
        <v>3957</v>
      </c>
      <c r="I60" s="8">
        <f>-983-3863.58-91</f>
        <v>-4937.58</v>
      </c>
      <c r="J60" s="8">
        <f>SUM(G60:I60)+1026.34-327.12</f>
        <v>64385.19999999999</v>
      </c>
      <c r="K60" s="8">
        <f>5000</f>
        <v>5000</v>
      </c>
      <c r="L60" s="8">
        <f>1000-114.51+179.61-570</f>
        <v>495.09999999999991</v>
      </c>
      <c r="M60" s="8">
        <f t="shared" si="0"/>
        <v>69880.299999999988</v>
      </c>
      <c r="N60" s="8">
        <f>-484.81+708.1-622.41</f>
        <v>-399.11999999999995</v>
      </c>
      <c r="O60" s="8">
        <f>-9000</f>
        <v>-9000</v>
      </c>
      <c r="P60" s="8">
        <f>-194.86</f>
        <v>-194.86</v>
      </c>
      <c r="Q60" s="99">
        <f t="shared" si="1"/>
        <v>60286.319999999992</v>
      </c>
    </row>
    <row r="61" spans="1:18" ht="14.95" customHeight="1" x14ac:dyDescent="0.25">
      <c r="A61" s="28" t="s">
        <v>38</v>
      </c>
      <c r="B61" s="29"/>
      <c r="C61" s="8">
        <v>90518.5</v>
      </c>
      <c r="D61" s="8">
        <f>-128-125.46</f>
        <v>-253.45999999999998</v>
      </c>
      <c r="E61" s="8">
        <v>1020.58</v>
      </c>
      <c r="F61" s="8">
        <v>0</v>
      </c>
      <c r="G61" s="8">
        <f>SUM(C61:F61)-30</f>
        <v>91255.62</v>
      </c>
      <c r="H61" s="8">
        <v>-3519.84</v>
      </c>
      <c r="I61" s="8">
        <f>39.36+690.73</f>
        <v>730.09</v>
      </c>
      <c r="J61" s="8">
        <f>SUM(G61:I61)+425.6+67.2</f>
        <v>88958.67</v>
      </c>
      <c r="K61" s="8">
        <f>1000</f>
        <v>1000</v>
      </c>
      <c r="L61" s="8">
        <f>-132.32+167+770</f>
        <v>804.68000000000006</v>
      </c>
      <c r="M61" s="8">
        <f t="shared" si="0"/>
        <v>90763.349999999991</v>
      </c>
      <c r="N61" s="8">
        <f>553+107.97+60.07</f>
        <v>721.04000000000008</v>
      </c>
      <c r="O61" s="8">
        <f>511</f>
        <v>511</v>
      </c>
      <c r="P61" s="8">
        <f>769.42</f>
        <v>769.42</v>
      </c>
      <c r="Q61" s="97">
        <f t="shared" si="1"/>
        <v>92764.809999999983</v>
      </c>
    </row>
    <row r="62" spans="1:18" ht="15.65" customHeight="1" thickBot="1" x14ac:dyDescent="0.3">
      <c r="A62" s="155" t="s">
        <v>39</v>
      </c>
      <c r="B62" s="134"/>
      <c r="C62" s="135">
        <f t="shared" ref="C62:I62" si="18">SUM(C64:C66)</f>
        <v>1607.9</v>
      </c>
      <c r="D62" s="135">
        <f t="shared" si="18"/>
        <v>0</v>
      </c>
      <c r="E62" s="135">
        <f t="shared" si="18"/>
        <v>0</v>
      </c>
      <c r="F62" s="135">
        <f t="shared" si="18"/>
        <v>0</v>
      </c>
      <c r="G62" s="135">
        <f t="shared" si="18"/>
        <v>1607.9</v>
      </c>
      <c r="H62" s="135">
        <f t="shared" si="18"/>
        <v>0</v>
      </c>
      <c r="I62" s="135">
        <f t="shared" si="18"/>
        <v>0</v>
      </c>
      <c r="J62" s="135">
        <f t="shared" ref="J62:O62" si="19">SUM(J64:J66)</f>
        <v>1607.9</v>
      </c>
      <c r="K62" s="135">
        <f t="shared" si="19"/>
        <v>0</v>
      </c>
      <c r="L62" s="135">
        <f t="shared" si="19"/>
        <v>0</v>
      </c>
      <c r="M62" s="135">
        <f t="shared" si="19"/>
        <v>1607.9</v>
      </c>
      <c r="N62" s="135">
        <f t="shared" si="19"/>
        <v>0</v>
      </c>
      <c r="O62" s="135">
        <f t="shared" si="19"/>
        <v>0</v>
      </c>
      <c r="P62" s="135">
        <f>SUM(P64:P66)</f>
        <v>0</v>
      </c>
      <c r="Q62" s="136">
        <f t="shared" si="1"/>
        <v>1607.9</v>
      </c>
      <c r="R62" s="87"/>
    </row>
    <row r="63" spans="1:18" ht="11.55" customHeight="1" x14ac:dyDescent="0.25">
      <c r="A63" s="32" t="s">
        <v>25</v>
      </c>
      <c r="B63" s="27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99"/>
    </row>
    <row r="64" spans="1:18" ht="23.1" customHeight="1" x14ac:dyDescent="0.25">
      <c r="A64" s="7" t="s">
        <v>40</v>
      </c>
      <c r="B64" s="33" t="s">
        <v>255</v>
      </c>
      <c r="C64" s="8">
        <v>20</v>
      </c>
      <c r="D64" s="8">
        <v>0</v>
      </c>
      <c r="E64" s="8">
        <v>0</v>
      </c>
      <c r="F64" s="8">
        <v>0</v>
      </c>
      <c r="G64" s="8">
        <f t="shared" si="2"/>
        <v>20</v>
      </c>
      <c r="H64" s="8">
        <v>0</v>
      </c>
      <c r="I64" s="8">
        <v>0</v>
      </c>
      <c r="J64" s="8">
        <f t="shared" si="3"/>
        <v>20</v>
      </c>
      <c r="K64" s="8">
        <v>0</v>
      </c>
      <c r="L64" s="8">
        <v>0</v>
      </c>
      <c r="M64" s="8">
        <f t="shared" si="0"/>
        <v>20</v>
      </c>
      <c r="N64" s="8">
        <v>0</v>
      </c>
      <c r="O64" s="8">
        <v>0</v>
      </c>
      <c r="P64" s="8">
        <v>0</v>
      </c>
      <c r="Q64" s="99">
        <f t="shared" si="1"/>
        <v>20</v>
      </c>
    </row>
    <row r="65" spans="1:18" ht="14.95" customHeight="1" x14ac:dyDescent="0.25">
      <c r="A65" s="34" t="s">
        <v>27</v>
      </c>
      <c r="B65" s="29"/>
      <c r="C65" s="8">
        <v>64.2</v>
      </c>
      <c r="D65" s="8">
        <v>0</v>
      </c>
      <c r="E65" s="8">
        <v>0</v>
      </c>
      <c r="F65" s="8">
        <v>0</v>
      </c>
      <c r="G65" s="8">
        <f t="shared" si="2"/>
        <v>64.2</v>
      </c>
      <c r="H65" s="8">
        <v>0</v>
      </c>
      <c r="I65" s="8">
        <v>0</v>
      </c>
      <c r="J65" s="8">
        <f t="shared" si="3"/>
        <v>64.2</v>
      </c>
      <c r="K65" s="8">
        <v>0</v>
      </c>
      <c r="L65" s="8">
        <v>0</v>
      </c>
      <c r="M65" s="8">
        <f t="shared" si="0"/>
        <v>64.2</v>
      </c>
      <c r="N65" s="8">
        <v>0</v>
      </c>
      <c r="O65" s="8">
        <v>0</v>
      </c>
      <c r="P65" s="8">
        <v>0</v>
      </c>
      <c r="Q65" s="99">
        <f t="shared" si="1"/>
        <v>64.2</v>
      </c>
    </row>
    <row r="66" spans="1:18" ht="14.95" customHeight="1" thickBot="1" x14ac:dyDescent="0.3">
      <c r="A66" s="35" t="s">
        <v>41</v>
      </c>
      <c r="B66" s="25"/>
      <c r="C66" s="10">
        <v>1523.7</v>
      </c>
      <c r="D66" s="10">
        <v>0</v>
      </c>
      <c r="E66" s="10">
        <v>0</v>
      </c>
      <c r="F66" s="10">
        <v>0</v>
      </c>
      <c r="G66" s="10">
        <f t="shared" si="2"/>
        <v>1523.7</v>
      </c>
      <c r="H66" s="10">
        <v>0</v>
      </c>
      <c r="I66" s="10">
        <v>0</v>
      </c>
      <c r="J66" s="10">
        <f t="shared" si="3"/>
        <v>1523.7</v>
      </c>
      <c r="K66" s="10">
        <v>0</v>
      </c>
      <c r="L66" s="10">
        <v>0</v>
      </c>
      <c r="M66" s="10">
        <f t="shared" si="0"/>
        <v>1523.7</v>
      </c>
      <c r="N66" s="10">
        <v>0</v>
      </c>
      <c r="O66" s="10">
        <v>0</v>
      </c>
      <c r="P66" s="10">
        <v>0</v>
      </c>
      <c r="Q66" s="101">
        <f t="shared" si="1"/>
        <v>1523.7</v>
      </c>
    </row>
    <row r="67" spans="1:18" ht="15.8" customHeight="1" thickBot="1" x14ac:dyDescent="0.3">
      <c r="A67" s="36" t="s">
        <v>42</v>
      </c>
      <c r="B67" s="77"/>
      <c r="C67" s="22">
        <f t="shared" ref="C67:O67" si="20">SUM(C69:C254)</f>
        <v>280121.5</v>
      </c>
      <c r="D67" s="22">
        <f t="shared" si="20"/>
        <v>3730.9900000000002</v>
      </c>
      <c r="E67" s="22">
        <f t="shared" si="20"/>
        <v>5712.7500000000009</v>
      </c>
      <c r="F67" s="22">
        <f t="shared" si="20"/>
        <v>15947.960000000001</v>
      </c>
      <c r="G67" s="22">
        <f t="shared" si="20"/>
        <v>305610.84999999998</v>
      </c>
      <c r="H67" s="22">
        <f t="shared" si="20"/>
        <v>1830</v>
      </c>
      <c r="I67" s="22">
        <f t="shared" si="20"/>
        <v>347.69000000000005</v>
      </c>
      <c r="J67" s="22">
        <f t="shared" si="20"/>
        <v>311764.82000000007</v>
      </c>
      <c r="K67" s="22">
        <f t="shared" si="20"/>
        <v>1636.4099999999994</v>
      </c>
      <c r="L67" s="22">
        <f t="shared" si="20"/>
        <v>3212.64</v>
      </c>
      <c r="M67" s="22">
        <f t="shared" si="20"/>
        <v>316613.87</v>
      </c>
      <c r="N67" s="22">
        <f t="shared" si="20"/>
        <v>5658.2799999999988</v>
      </c>
      <c r="O67" s="22">
        <f t="shared" si="20"/>
        <v>-4182.16</v>
      </c>
      <c r="P67" s="22">
        <f>SUM(P69:P254)</f>
        <v>4.9800000000000004</v>
      </c>
      <c r="Q67" s="105">
        <f t="shared" si="1"/>
        <v>318094.97000000003</v>
      </c>
      <c r="R67" s="87"/>
    </row>
    <row r="68" spans="1:18" ht="14.3" customHeight="1" x14ac:dyDescent="0.25">
      <c r="A68" s="37" t="s">
        <v>25</v>
      </c>
      <c r="B68" s="27"/>
      <c r="C68" s="82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99"/>
    </row>
    <row r="69" spans="1:18" ht="14.95" customHeight="1" x14ac:dyDescent="0.25">
      <c r="A69" s="34" t="s">
        <v>27</v>
      </c>
      <c r="B69" s="33"/>
      <c r="C69" s="8">
        <v>4050</v>
      </c>
      <c r="D69" s="8">
        <f>-120</f>
        <v>-120</v>
      </c>
      <c r="E69" s="8">
        <v>1500</v>
      </c>
      <c r="F69" s="8">
        <f>-70-150+800</f>
        <v>580</v>
      </c>
      <c r="G69" s="8">
        <f>SUM(C69:F69)+200</f>
        <v>6210</v>
      </c>
      <c r="H69" s="8">
        <v>0</v>
      </c>
      <c r="I69" s="8">
        <f>-70</f>
        <v>-70</v>
      </c>
      <c r="J69" s="8">
        <f t="shared" si="3"/>
        <v>6140</v>
      </c>
      <c r="K69" s="8">
        <f>-150</f>
        <v>-150</v>
      </c>
      <c r="L69" s="8">
        <f>-785</f>
        <v>-785</v>
      </c>
      <c r="M69" s="8">
        <f t="shared" si="0"/>
        <v>5205</v>
      </c>
      <c r="N69" s="8">
        <v>0</v>
      </c>
      <c r="O69" s="8">
        <v>0</v>
      </c>
      <c r="P69" s="8">
        <v>0</v>
      </c>
      <c r="Q69" s="97">
        <f t="shared" si="1"/>
        <v>5205</v>
      </c>
    </row>
    <row r="70" spans="1:18" ht="25.15" customHeight="1" x14ac:dyDescent="0.25">
      <c r="A70" s="7" t="s">
        <v>43</v>
      </c>
      <c r="B70" s="33" t="s">
        <v>44</v>
      </c>
      <c r="C70" s="8">
        <v>7000</v>
      </c>
      <c r="D70" s="8">
        <v>0</v>
      </c>
      <c r="E70" s="8">
        <v>0</v>
      </c>
      <c r="F70" s="8">
        <v>0</v>
      </c>
      <c r="G70" s="8">
        <f t="shared" si="2"/>
        <v>7000</v>
      </c>
      <c r="H70" s="8">
        <v>0</v>
      </c>
      <c r="I70" s="8">
        <v>0</v>
      </c>
      <c r="J70" s="8">
        <f t="shared" si="3"/>
        <v>7000</v>
      </c>
      <c r="K70" s="8">
        <v>0</v>
      </c>
      <c r="L70" s="8">
        <v>0</v>
      </c>
      <c r="M70" s="8">
        <f t="shared" si="0"/>
        <v>7000</v>
      </c>
      <c r="N70" s="8">
        <v>0</v>
      </c>
      <c r="O70" s="8">
        <v>0</v>
      </c>
      <c r="P70" s="8">
        <v>0</v>
      </c>
      <c r="Q70" s="99">
        <f t="shared" ref="Q70:Q133" si="21">SUM(M70:P70)</f>
        <v>7000</v>
      </c>
    </row>
    <row r="71" spans="1:18" ht="25.15" customHeight="1" x14ac:dyDescent="0.25">
      <c r="A71" s="7" t="s">
        <v>229</v>
      </c>
      <c r="B71" s="33" t="s">
        <v>45</v>
      </c>
      <c r="C71" s="8">
        <v>50000</v>
      </c>
      <c r="D71" s="52">
        <v>0</v>
      </c>
      <c r="E71" s="52">
        <v>0</v>
      </c>
      <c r="F71" s="52">
        <v>0</v>
      </c>
      <c r="G71" s="8">
        <f t="shared" si="2"/>
        <v>50000</v>
      </c>
      <c r="H71" s="8">
        <v>0</v>
      </c>
      <c r="I71" s="8">
        <v>0</v>
      </c>
      <c r="J71" s="8">
        <f t="shared" si="3"/>
        <v>50000</v>
      </c>
      <c r="K71" s="8">
        <v>0</v>
      </c>
      <c r="L71" s="8">
        <v>0</v>
      </c>
      <c r="M71" s="8">
        <f t="shared" ref="M71:M182" si="22">SUM(J71:L71)</f>
        <v>50000</v>
      </c>
      <c r="N71" s="8">
        <v>0</v>
      </c>
      <c r="O71" s="8">
        <v>0</v>
      </c>
      <c r="P71" s="8">
        <v>0</v>
      </c>
      <c r="Q71" s="99">
        <f t="shared" si="21"/>
        <v>50000</v>
      </c>
    </row>
    <row r="72" spans="1:18" ht="25.15" customHeight="1" x14ac:dyDescent="0.25">
      <c r="A72" s="7" t="s">
        <v>230</v>
      </c>
      <c r="B72" s="33" t="s">
        <v>46</v>
      </c>
      <c r="C72" s="8">
        <v>900</v>
      </c>
      <c r="D72" s="8">
        <v>0</v>
      </c>
      <c r="E72" s="8">
        <v>0</v>
      </c>
      <c r="F72" s="8">
        <v>0</v>
      </c>
      <c r="G72" s="8">
        <f t="shared" si="2"/>
        <v>900</v>
      </c>
      <c r="H72" s="8">
        <v>0</v>
      </c>
      <c r="I72" s="8">
        <v>0</v>
      </c>
      <c r="J72" s="8">
        <f t="shared" si="3"/>
        <v>900</v>
      </c>
      <c r="K72" s="8">
        <v>0</v>
      </c>
      <c r="L72" s="8">
        <v>0</v>
      </c>
      <c r="M72" s="8">
        <f t="shared" si="22"/>
        <v>900</v>
      </c>
      <c r="N72" s="8">
        <v>0</v>
      </c>
      <c r="O72" s="8">
        <v>0</v>
      </c>
      <c r="P72" s="8">
        <v>0</v>
      </c>
      <c r="Q72" s="99">
        <f t="shared" si="21"/>
        <v>900</v>
      </c>
    </row>
    <row r="73" spans="1:18" ht="25.85" customHeight="1" x14ac:dyDescent="0.25">
      <c r="A73" s="7" t="s">
        <v>301</v>
      </c>
      <c r="B73" s="33" t="s">
        <v>247</v>
      </c>
      <c r="C73" s="8">
        <v>0</v>
      </c>
      <c r="D73" s="8">
        <f>120</f>
        <v>120</v>
      </c>
      <c r="E73" s="8">
        <v>0</v>
      </c>
      <c r="F73" s="8">
        <v>0</v>
      </c>
      <c r="G73" s="8">
        <f t="shared" si="2"/>
        <v>120</v>
      </c>
      <c r="H73" s="8">
        <v>0</v>
      </c>
      <c r="I73" s="8">
        <v>0</v>
      </c>
      <c r="J73" s="8">
        <f t="shared" ref="J73:J194" si="23">SUM(G73:I73)</f>
        <v>120</v>
      </c>
      <c r="K73" s="8">
        <v>0</v>
      </c>
      <c r="L73" s="8">
        <v>0</v>
      </c>
      <c r="M73" s="8">
        <f t="shared" si="22"/>
        <v>120</v>
      </c>
      <c r="N73" s="8">
        <v>0</v>
      </c>
      <c r="O73" s="8">
        <v>0</v>
      </c>
      <c r="P73" s="8">
        <v>0</v>
      </c>
      <c r="Q73" s="99">
        <f t="shared" si="21"/>
        <v>120</v>
      </c>
    </row>
    <row r="74" spans="1:18" ht="14.95" customHeight="1" x14ac:dyDescent="0.25">
      <c r="A74" s="34" t="s">
        <v>47</v>
      </c>
      <c r="B74" s="33" t="s">
        <v>228</v>
      </c>
      <c r="C74" s="8">
        <v>3592</v>
      </c>
      <c r="D74" s="8">
        <v>0</v>
      </c>
      <c r="E74" s="8">
        <v>70</v>
      </c>
      <c r="F74" s="8">
        <v>0</v>
      </c>
      <c r="G74" s="8">
        <f t="shared" si="2"/>
        <v>3662</v>
      </c>
      <c r="H74" s="8">
        <v>140</v>
      </c>
      <c r="I74" s="8">
        <v>0</v>
      </c>
      <c r="J74" s="8">
        <f t="shared" si="23"/>
        <v>3802</v>
      </c>
      <c r="K74" s="8">
        <v>0</v>
      </c>
      <c r="L74" s="8">
        <v>0</v>
      </c>
      <c r="M74" s="8">
        <f t="shared" si="22"/>
        <v>3802</v>
      </c>
      <c r="N74" s="8">
        <v>0</v>
      </c>
      <c r="O74" s="8">
        <v>0</v>
      </c>
      <c r="P74" s="8">
        <v>0</v>
      </c>
      <c r="Q74" s="99">
        <f t="shared" si="21"/>
        <v>3802</v>
      </c>
    </row>
    <row r="75" spans="1:18" ht="14.95" customHeight="1" x14ac:dyDescent="0.25">
      <c r="A75" s="34" t="s">
        <v>350</v>
      </c>
      <c r="B75" s="33" t="s">
        <v>325</v>
      </c>
      <c r="C75" s="8">
        <v>0</v>
      </c>
      <c r="D75" s="8">
        <v>0</v>
      </c>
      <c r="E75" s="8">
        <v>0</v>
      </c>
      <c r="F75" s="8">
        <f>86.63</f>
        <v>86.63</v>
      </c>
      <c r="G75" s="8">
        <f>SUM(C75:F75)</f>
        <v>86.63</v>
      </c>
      <c r="H75" s="8">
        <v>0</v>
      </c>
      <c r="I75" s="8">
        <v>0</v>
      </c>
      <c r="J75" s="8">
        <f>SUM(G75:I75)-86.62</f>
        <v>9.9999999999909051E-3</v>
      </c>
      <c r="K75" s="8">
        <v>0</v>
      </c>
      <c r="L75" s="8">
        <v>0</v>
      </c>
      <c r="M75" s="8">
        <f t="shared" si="22"/>
        <v>9.9999999999909051E-3</v>
      </c>
      <c r="N75" s="8">
        <f>-0.01</f>
        <v>-0.01</v>
      </c>
      <c r="O75" s="8">
        <v>0</v>
      </c>
      <c r="P75" s="8">
        <v>0</v>
      </c>
      <c r="Q75" s="99">
        <f t="shared" si="21"/>
        <v>-9.0951551845463996E-15</v>
      </c>
    </row>
    <row r="76" spans="1:18" ht="14.95" customHeight="1" x14ac:dyDescent="0.25">
      <c r="A76" s="34" t="s">
        <v>350</v>
      </c>
      <c r="B76" s="33" t="s">
        <v>418</v>
      </c>
      <c r="C76" s="8">
        <v>0</v>
      </c>
      <c r="D76" s="8"/>
      <c r="E76" s="8"/>
      <c r="F76" s="8"/>
      <c r="G76" s="8"/>
      <c r="H76" s="8"/>
      <c r="I76" s="8"/>
      <c r="J76" s="8">
        <v>0</v>
      </c>
      <c r="K76" s="8">
        <v>0</v>
      </c>
      <c r="L76" s="8">
        <f>158.36</f>
        <v>158.36000000000001</v>
      </c>
      <c r="M76" s="8">
        <f>SUM(J76:L76)</f>
        <v>158.36000000000001</v>
      </c>
      <c r="N76" s="8">
        <v>0</v>
      </c>
      <c r="O76" s="8">
        <v>0</v>
      </c>
      <c r="P76" s="8">
        <v>0</v>
      </c>
      <c r="Q76" s="99">
        <f t="shared" si="21"/>
        <v>158.36000000000001</v>
      </c>
    </row>
    <row r="77" spans="1:18" ht="14.95" customHeight="1" x14ac:dyDescent="0.25">
      <c r="A77" s="34" t="s">
        <v>351</v>
      </c>
      <c r="B77" s="33" t="s">
        <v>325</v>
      </c>
      <c r="C77" s="8">
        <v>0</v>
      </c>
      <c r="D77" s="8">
        <v>0</v>
      </c>
      <c r="E77" s="8">
        <v>0</v>
      </c>
      <c r="F77" s="8">
        <f>9.63</f>
        <v>9.6300000000000008</v>
      </c>
      <c r="G77" s="8">
        <f>SUM(C77:F77)</f>
        <v>9.6300000000000008</v>
      </c>
      <c r="H77" s="8">
        <v>0</v>
      </c>
      <c r="I77" s="8">
        <v>0</v>
      </c>
      <c r="J77" s="8">
        <f>SUM(G77:I77)-9.62</f>
        <v>1.0000000000001563E-2</v>
      </c>
      <c r="K77" s="8">
        <v>0</v>
      </c>
      <c r="L77" s="8">
        <v>0</v>
      </c>
      <c r="M77" s="8">
        <f t="shared" si="22"/>
        <v>1.0000000000001563E-2</v>
      </c>
      <c r="N77" s="8">
        <f>-0.01</f>
        <v>-0.01</v>
      </c>
      <c r="O77" s="8">
        <v>0</v>
      </c>
      <c r="P77" s="8">
        <v>0</v>
      </c>
      <c r="Q77" s="99">
        <f t="shared" si="21"/>
        <v>1.5629858518551032E-15</v>
      </c>
    </row>
    <row r="78" spans="1:18" ht="14.95" customHeight="1" x14ac:dyDescent="0.25">
      <c r="A78" s="34" t="s">
        <v>351</v>
      </c>
      <c r="B78" s="33" t="s">
        <v>418</v>
      </c>
      <c r="C78" s="8">
        <v>0</v>
      </c>
      <c r="D78" s="8"/>
      <c r="E78" s="8"/>
      <c r="F78" s="8"/>
      <c r="G78" s="8"/>
      <c r="H78" s="8"/>
      <c r="I78" s="8"/>
      <c r="J78" s="8">
        <v>0</v>
      </c>
      <c r="K78" s="8">
        <v>0</v>
      </c>
      <c r="L78" s="8">
        <f>17.6</f>
        <v>17.600000000000001</v>
      </c>
      <c r="M78" s="8">
        <f>SUM(J78:L78)</f>
        <v>17.600000000000001</v>
      </c>
      <c r="N78" s="8">
        <v>0</v>
      </c>
      <c r="O78" s="8">
        <v>0</v>
      </c>
      <c r="P78" s="8">
        <v>0</v>
      </c>
      <c r="Q78" s="99">
        <f t="shared" si="21"/>
        <v>17.600000000000001</v>
      </c>
    </row>
    <row r="79" spans="1:18" ht="14.95" customHeight="1" x14ac:dyDescent="0.25">
      <c r="A79" s="34" t="s">
        <v>312</v>
      </c>
      <c r="B79" s="33" t="s">
        <v>313</v>
      </c>
      <c r="C79" s="8">
        <v>0</v>
      </c>
      <c r="D79" s="8">
        <v>0</v>
      </c>
      <c r="E79" s="8">
        <v>0</v>
      </c>
      <c r="F79" s="8">
        <f>556.17</f>
        <v>556.16999999999996</v>
      </c>
      <c r="G79" s="8">
        <f>SUM(C79:F79)</f>
        <v>556.16999999999996</v>
      </c>
      <c r="H79" s="8">
        <v>0</v>
      </c>
      <c r="I79" s="8">
        <v>0</v>
      </c>
      <c r="J79" s="8">
        <f t="shared" si="23"/>
        <v>556.16999999999996</v>
      </c>
      <c r="K79" s="8">
        <v>0</v>
      </c>
      <c r="L79" s="8">
        <v>0</v>
      </c>
      <c r="M79" s="8">
        <f t="shared" si="22"/>
        <v>556.16999999999996</v>
      </c>
      <c r="N79" s="8">
        <v>0</v>
      </c>
      <c r="O79" s="8">
        <v>0</v>
      </c>
      <c r="P79" s="8">
        <v>0</v>
      </c>
      <c r="Q79" s="99">
        <f t="shared" si="21"/>
        <v>556.16999999999996</v>
      </c>
    </row>
    <row r="80" spans="1:18" ht="14.95" customHeight="1" x14ac:dyDescent="0.25">
      <c r="A80" s="34" t="s">
        <v>48</v>
      </c>
      <c r="B80" s="33" t="s">
        <v>228</v>
      </c>
      <c r="C80" s="8">
        <v>4559</v>
      </c>
      <c r="D80" s="8">
        <v>0</v>
      </c>
      <c r="E80" s="8">
        <v>287</v>
      </c>
      <c r="F80" s="8">
        <v>0</v>
      </c>
      <c r="G80" s="8">
        <f t="shared" si="2"/>
        <v>4846</v>
      </c>
      <c r="H80" s="8">
        <v>126</v>
      </c>
      <c r="I80" s="8">
        <v>0</v>
      </c>
      <c r="J80" s="8">
        <f t="shared" si="23"/>
        <v>4972</v>
      </c>
      <c r="K80" s="8">
        <v>0</v>
      </c>
      <c r="L80" s="8">
        <v>0</v>
      </c>
      <c r="M80" s="8">
        <f t="shared" si="22"/>
        <v>4972</v>
      </c>
      <c r="N80" s="8">
        <v>0</v>
      </c>
      <c r="O80" s="8">
        <v>0</v>
      </c>
      <c r="P80" s="8">
        <v>0</v>
      </c>
      <c r="Q80" s="99">
        <f t="shared" si="21"/>
        <v>4972</v>
      </c>
    </row>
    <row r="81" spans="1:17" ht="14.95" customHeight="1" x14ac:dyDescent="0.25">
      <c r="A81" s="34" t="s">
        <v>345</v>
      </c>
      <c r="B81" s="33" t="s">
        <v>325</v>
      </c>
      <c r="C81" s="8">
        <v>0</v>
      </c>
      <c r="D81" s="8">
        <v>0</v>
      </c>
      <c r="E81" s="8">
        <v>0</v>
      </c>
      <c r="F81" s="8">
        <f>86.63</f>
        <v>86.63</v>
      </c>
      <c r="G81" s="8">
        <f>SUM(C81:F81)</f>
        <v>86.63</v>
      </c>
      <c r="H81" s="8">
        <v>0</v>
      </c>
      <c r="I81" s="8">
        <v>0</v>
      </c>
      <c r="J81" s="8">
        <f>SUM(G81:I81)-86.62</f>
        <v>9.9999999999909051E-3</v>
      </c>
      <c r="K81" s="8">
        <v>0</v>
      </c>
      <c r="L81" s="8">
        <v>0</v>
      </c>
      <c r="M81" s="8">
        <f t="shared" si="22"/>
        <v>9.9999999999909051E-3</v>
      </c>
      <c r="N81" s="8">
        <f>-0.01</f>
        <v>-0.01</v>
      </c>
      <c r="O81" s="8">
        <v>0</v>
      </c>
      <c r="P81" s="8">
        <v>0</v>
      </c>
      <c r="Q81" s="99">
        <f t="shared" si="21"/>
        <v>-9.0951551845463996E-15</v>
      </c>
    </row>
    <row r="82" spans="1:17" ht="14.95" customHeight="1" x14ac:dyDescent="0.25">
      <c r="A82" s="34" t="s">
        <v>345</v>
      </c>
      <c r="B82" s="33" t="s">
        <v>418</v>
      </c>
      <c r="C82" s="8">
        <v>0</v>
      </c>
      <c r="D82" s="8"/>
      <c r="E82" s="8"/>
      <c r="F82" s="8"/>
      <c r="G82" s="8"/>
      <c r="H82" s="8"/>
      <c r="I82" s="8"/>
      <c r="J82" s="8"/>
      <c r="K82" s="8"/>
      <c r="L82" s="8"/>
      <c r="M82" s="8">
        <v>0</v>
      </c>
      <c r="N82" s="8">
        <f>126.69</f>
        <v>126.69</v>
      </c>
      <c r="O82" s="8">
        <v>0</v>
      </c>
      <c r="P82" s="8">
        <v>0</v>
      </c>
      <c r="Q82" s="99">
        <f t="shared" si="21"/>
        <v>126.69</v>
      </c>
    </row>
    <row r="83" spans="1:17" ht="14.95" customHeight="1" x14ac:dyDescent="0.25">
      <c r="A83" s="34" t="s">
        <v>346</v>
      </c>
      <c r="B83" s="33" t="s">
        <v>325</v>
      </c>
      <c r="C83" s="8">
        <v>0</v>
      </c>
      <c r="D83" s="8">
        <v>0</v>
      </c>
      <c r="E83" s="8">
        <v>0</v>
      </c>
      <c r="F83" s="8">
        <f>9.63</f>
        <v>9.6300000000000008</v>
      </c>
      <c r="G83" s="8">
        <f>SUM(C83:F83)</f>
        <v>9.6300000000000008</v>
      </c>
      <c r="H83" s="8">
        <v>0</v>
      </c>
      <c r="I83" s="8">
        <v>0</v>
      </c>
      <c r="J83" s="8">
        <f>SUM(G83:I83)-9.62</f>
        <v>1.0000000000001563E-2</v>
      </c>
      <c r="K83" s="8">
        <v>0</v>
      </c>
      <c r="L83" s="8">
        <v>0</v>
      </c>
      <c r="M83" s="8">
        <f t="shared" si="22"/>
        <v>1.0000000000001563E-2</v>
      </c>
      <c r="N83" s="8">
        <f>-0.01</f>
        <v>-0.01</v>
      </c>
      <c r="O83" s="8">
        <v>0</v>
      </c>
      <c r="P83" s="8">
        <v>0</v>
      </c>
      <c r="Q83" s="99">
        <f t="shared" si="21"/>
        <v>1.5629858518551032E-15</v>
      </c>
    </row>
    <row r="84" spans="1:17" ht="14.95" customHeight="1" x14ac:dyDescent="0.25">
      <c r="A84" s="34" t="s">
        <v>346</v>
      </c>
      <c r="B84" s="33" t="s">
        <v>418</v>
      </c>
      <c r="C84" s="8">
        <v>0</v>
      </c>
      <c r="D84" s="8"/>
      <c r="E84" s="8"/>
      <c r="F84" s="8"/>
      <c r="G84" s="8"/>
      <c r="H84" s="8"/>
      <c r="I84" s="8"/>
      <c r="J84" s="8"/>
      <c r="K84" s="8"/>
      <c r="L84" s="8"/>
      <c r="M84" s="8">
        <v>0</v>
      </c>
      <c r="N84" s="8">
        <f>14.08</f>
        <v>14.08</v>
      </c>
      <c r="O84" s="8">
        <v>0</v>
      </c>
      <c r="P84" s="8">
        <v>0</v>
      </c>
      <c r="Q84" s="99">
        <f t="shared" si="21"/>
        <v>14.08</v>
      </c>
    </row>
    <row r="85" spans="1:17" ht="14.95" customHeight="1" x14ac:dyDescent="0.25">
      <c r="A85" s="34" t="s">
        <v>303</v>
      </c>
      <c r="B85" s="33" t="s">
        <v>304</v>
      </c>
      <c r="C85" s="8">
        <v>0</v>
      </c>
      <c r="D85" s="8">
        <f>755.89</f>
        <v>755.89</v>
      </c>
      <c r="E85" s="8">
        <v>0</v>
      </c>
      <c r="F85" s="8">
        <v>0</v>
      </c>
      <c r="G85" s="8">
        <f t="shared" si="2"/>
        <v>755.89</v>
      </c>
      <c r="H85" s="8">
        <v>0</v>
      </c>
      <c r="I85" s="8">
        <v>0</v>
      </c>
      <c r="J85" s="8">
        <f t="shared" si="23"/>
        <v>755.89</v>
      </c>
      <c r="K85" s="8">
        <v>0</v>
      </c>
      <c r="L85" s="8">
        <v>0</v>
      </c>
      <c r="M85" s="8">
        <f t="shared" si="22"/>
        <v>755.89</v>
      </c>
      <c r="N85" s="8">
        <v>0</v>
      </c>
      <c r="O85" s="8">
        <v>0</v>
      </c>
      <c r="P85" s="8">
        <v>0</v>
      </c>
      <c r="Q85" s="99">
        <f t="shared" si="21"/>
        <v>755.89</v>
      </c>
    </row>
    <row r="86" spans="1:17" ht="15.65" customHeight="1" x14ac:dyDescent="0.25">
      <c r="A86" s="7" t="s">
        <v>49</v>
      </c>
      <c r="B86" s="33" t="s">
        <v>228</v>
      </c>
      <c r="C86" s="8">
        <v>1725</v>
      </c>
      <c r="D86" s="8">
        <v>0</v>
      </c>
      <c r="E86" s="8">
        <v>40</v>
      </c>
      <c r="F86" s="8">
        <v>0</v>
      </c>
      <c r="G86" s="8">
        <f t="shared" si="2"/>
        <v>1765</v>
      </c>
      <c r="H86" s="8">
        <v>0</v>
      </c>
      <c r="I86" s="8">
        <v>0</v>
      </c>
      <c r="J86" s="8">
        <f t="shared" si="23"/>
        <v>1765</v>
      </c>
      <c r="K86" s="8">
        <v>0</v>
      </c>
      <c r="L86" s="8">
        <v>0</v>
      </c>
      <c r="M86" s="8">
        <f t="shared" si="22"/>
        <v>1765</v>
      </c>
      <c r="N86" s="8">
        <v>0</v>
      </c>
      <c r="O86" s="8">
        <v>0</v>
      </c>
      <c r="P86" s="8">
        <v>0</v>
      </c>
      <c r="Q86" s="99">
        <f t="shared" si="21"/>
        <v>1765</v>
      </c>
    </row>
    <row r="87" spans="1:17" ht="23.8" customHeight="1" x14ac:dyDescent="0.25">
      <c r="A87" s="7" t="s">
        <v>347</v>
      </c>
      <c r="B87" s="33" t="s">
        <v>325</v>
      </c>
      <c r="C87" s="8">
        <v>0</v>
      </c>
      <c r="D87" s="8">
        <v>0</v>
      </c>
      <c r="E87" s="8">
        <v>0</v>
      </c>
      <c r="F87" s="8">
        <f>11.56</f>
        <v>11.56</v>
      </c>
      <c r="G87" s="8">
        <f>SUM(C87:F87)</f>
        <v>11.56</v>
      </c>
      <c r="H87" s="8">
        <v>0</v>
      </c>
      <c r="I87" s="8">
        <v>0</v>
      </c>
      <c r="J87" s="8">
        <f>SUM(G87:I87)-11.55</f>
        <v>9.9999999999997868E-3</v>
      </c>
      <c r="K87" s="8">
        <v>0</v>
      </c>
      <c r="L87" s="8">
        <v>0</v>
      </c>
      <c r="M87" s="8">
        <f t="shared" si="22"/>
        <v>9.9999999999997868E-3</v>
      </c>
      <c r="N87" s="8">
        <f>-0.01</f>
        <v>-0.01</v>
      </c>
      <c r="O87" s="8">
        <v>0</v>
      </c>
      <c r="P87" s="8">
        <v>0</v>
      </c>
      <c r="Q87" s="99">
        <f t="shared" si="21"/>
        <v>-2.1337098754514727E-16</v>
      </c>
    </row>
    <row r="88" spans="1:17" ht="23.8" customHeight="1" x14ac:dyDescent="0.25">
      <c r="A88" s="7" t="s">
        <v>347</v>
      </c>
      <c r="B88" s="33" t="s">
        <v>418</v>
      </c>
      <c r="C88" s="8">
        <v>0</v>
      </c>
      <c r="D88" s="8"/>
      <c r="E88" s="8"/>
      <c r="F88" s="8"/>
      <c r="G88" s="8"/>
      <c r="H88" s="8"/>
      <c r="I88" s="8"/>
      <c r="J88" s="8">
        <v>0</v>
      </c>
      <c r="K88" s="8">
        <v>0</v>
      </c>
      <c r="L88" s="8">
        <f>63.35</f>
        <v>63.35</v>
      </c>
      <c r="M88" s="8">
        <f>SUM(J88:L88)</f>
        <v>63.35</v>
      </c>
      <c r="N88" s="8">
        <v>0</v>
      </c>
      <c r="O88" s="8">
        <v>0</v>
      </c>
      <c r="P88" s="8">
        <v>0</v>
      </c>
      <c r="Q88" s="99">
        <f t="shared" si="21"/>
        <v>63.35</v>
      </c>
    </row>
    <row r="89" spans="1:17" ht="24.45" customHeight="1" x14ac:dyDescent="0.25">
      <c r="A89" s="7" t="s">
        <v>349</v>
      </c>
      <c r="B89" s="33" t="s">
        <v>325</v>
      </c>
      <c r="C89" s="8">
        <v>0</v>
      </c>
      <c r="D89" s="8">
        <v>0</v>
      </c>
      <c r="E89" s="8">
        <v>0</v>
      </c>
      <c r="F89" s="8">
        <f>1.29</f>
        <v>1.29</v>
      </c>
      <c r="G89" s="8">
        <f>SUM(C89:F89)</f>
        <v>1.29</v>
      </c>
      <c r="H89" s="8">
        <v>0</v>
      </c>
      <c r="I89" s="8">
        <v>0</v>
      </c>
      <c r="J89" s="8">
        <f>SUM(G89:I89)-1.28</f>
        <v>1.0000000000000009E-2</v>
      </c>
      <c r="K89" s="8">
        <v>0</v>
      </c>
      <c r="L89" s="8">
        <v>0</v>
      </c>
      <c r="M89" s="8">
        <f t="shared" si="22"/>
        <v>1.0000000000000009E-2</v>
      </c>
      <c r="N89" s="8">
        <f>-0.01</f>
        <v>-0.01</v>
      </c>
      <c r="O89" s="8">
        <v>0</v>
      </c>
      <c r="P89" s="8">
        <v>0</v>
      </c>
      <c r="Q89" s="99">
        <f t="shared" si="21"/>
        <v>8.6736173798840355E-18</v>
      </c>
    </row>
    <row r="90" spans="1:17" ht="24.45" customHeight="1" x14ac:dyDescent="0.25">
      <c r="A90" s="7" t="s">
        <v>349</v>
      </c>
      <c r="B90" s="33" t="s">
        <v>418</v>
      </c>
      <c r="C90" s="8">
        <v>0</v>
      </c>
      <c r="D90" s="8"/>
      <c r="E90" s="8"/>
      <c r="F90" s="8"/>
      <c r="G90" s="8"/>
      <c r="H90" s="8"/>
      <c r="I90" s="8"/>
      <c r="J90" s="8">
        <v>0</v>
      </c>
      <c r="K90" s="8">
        <v>0</v>
      </c>
      <c r="L90" s="8">
        <f>7.04</f>
        <v>7.04</v>
      </c>
      <c r="M90" s="8">
        <f>SUM(J90:L90)</f>
        <v>7.04</v>
      </c>
      <c r="N90" s="8">
        <v>0</v>
      </c>
      <c r="O90" s="8">
        <v>0</v>
      </c>
      <c r="P90" s="8">
        <v>0</v>
      </c>
      <c r="Q90" s="99">
        <f t="shared" si="21"/>
        <v>7.04</v>
      </c>
    </row>
    <row r="91" spans="1:17" ht="24.45" customHeight="1" x14ac:dyDescent="0.25">
      <c r="A91" s="7" t="s">
        <v>425</v>
      </c>
      <c r="B91" s="33" t="s">
        <v>403</v>
      </c>
      <c r="C91" s="8">
        <v>0</v>
      </c>
      <c r="D91" s="8"/>
      <c r="E91" s="8"/>
      <c r="F91" s="8"/>
      <c r="G91" s="8"/>
      <c r="H91" s="8"/>
      <c r="I91" s="8"/>
      <c r="J91" s="8">
        <v>0</v>
      </c>
      <c r="K91" s="8">
        <v>0</v>
      </c>
      <c r="L91" s="8">
        <f>361.33</f>
        <v>361.33</v>
      </c>
      <c r="M91" s="8">
        <f>SUM(J91:L91)</f>
        <v>361.33</v>
      </c>
      <c r="N91" s="8">
        <v>0</v>
      </c>
      <c r="O91" s="8">
        <v>0</v>
      </c>
      <c r="P91" s="8">
        <v>0</v>
      </c>
      <c r="Q91" s="99">
        <f t="shared" si="21"/>
        <v>361.33</v>
      </c>
    </row>
    <row r="92" spans="1:17" ht="14.95" customHeight="1" x14ac:dyDescent="0.25">
      <c r="A92" s="7" t="s">
        <v>50</v>
      </c>
      <c r="B92" s="33" t="s">
        <v>228</v>
      </c>
      <c r="C92" s="8">
        <v>4913</v>
      </c>
      <c r="D92" s="8">
        <v>0</v>
      </c>
      <c r="E92" s="8">
        <v>155</v>
      </c>
      <c r="F92" s="8">
        <v>0</v>
      </c>
      <c r="G92" s="8">
        <f t="shared" si="2"/>
        <v>5068</v>
      </c>
      <c r="H92" s="8">
        <v>0</v>
      </c>
      <c r="I92" s="8">
        <v>0</v>
      </c>
      <c r="J92" s="8">
        <f t="shared" si="23"/>
        <v>5068</v>
      </c>
      <c r="K92" s="8">
        <v>0</v>
      </c>
      <c r="L92" s="8">
        <v>0</v>
      </c>
      <c r="M92" s="8">
        <f t="shared" si="22"/>
        <v>5068</v>
      </c>
      <c r="N92" s="8">
        <v>0</v>
      </c>
      <c r="O92" s="8">
        <v>0</v>
      </c>
      <c r="P92" s="8">
        <v>0</v>
      </c>
      <c r="Q92" s="99">
        <f t="shared" si="21"/>
        <v>5068</v>
      </c>
    </row>
    <row r="93" spans="1:17" ht="14.95" customHeight="1" x14ac:dyDescent="0.25">
      <c r="A93" s="7" t="s">
        <v>321</v>
      </c>
      <c r="B93" s="33" t="s">
        <v>322</v>
      </c>
      <c r="C93" s="8">
        <v>0</v>
      </c>
      <c r="D93" s="8">
        <v>0</v>
      </c>
      <c r="E93" s="8">
        <v>0</v>
      </c>
      <c r="F93" s="8">
        <f>172.98</f>
        <v>172.98</v>
      </c>
      <c r="G93" s="8">
        <f>SUM(C93:F93)</f>
        <v>172.98</v>
      </c>
      <c r="H93" s="8">
        <v>0</v>
      </c>
      <c r="I93" s="8">
        <v>0</v>
      </c>
      <c r="J93" s="8">
        <f>SUM(G93:I93)-172.98</f>
        <v>0</v>
      </c>
      <c r="K93" s="8">
        <v>0</v>
      </c>
      <c r="L93" s="8">
        <v>0</v>
      </c>
      <c r="M93" s="8">
        <f t="shared" si="22"/>
        <v>0</v>
      </c>
      <c r="N93" s="8">
        <v>0</v>
      </c>
      <c r="O93" s="8">
        <v>0</v>
      </c>
      <c r="P93" s="8">
        <v>0</v>
      </c>
      <c r="Q93" s="99">
        <f t="shared" si="21"/>
        <v>0</v>
      </c>
    </row>
    <row r="94" spans="1:17" ht="14.95" customHeight="1" x14ac:dyDescent="0.25">
      <c r="A94" s="7" t="s">
        <v>321</v>
      </c>
      <c r="B94" s="33" t="s">
        <v>418</v>
      </c>
      <c r="C94" s="8">
        <v>0</v>
      </c>
      <c r="D94" s="8"/>
      <c r="E94" s="8"/>
      <c r="F94" s="8"/>
      <c r="G94" s="8"/>
      <c r="H94" s="8"/>
      <c r="I94" s="8"/>
      <c r="J94" s="8">
        <v>0</v>
      </c>
      <c r="K94" s="8">
        <v>0</v>
      </c>
      <c r="L94" s="8">
        <f>367.39</f>
        <v>367.39</v>
      </c>
      <c r="M94" s="8">
        <f>SUM(J94:L94)</f>
        <v>367.39</v>
      </c>
      <c r="N94" s="8">
        <v>0</v>
      </c>
      <c r="O94" s="8">
        <v>0</v>
      </c>
      <c r="P94" s="8">
        <v>0</v>
      </c>
      <c r="Q94" s="99">
        <f t="shared" si="21"/>
        <v>367.39</v>
      </c>
    </row>
    <row r="95" spans="1:17" ht="14.95" customHeight="1" x14ac:dyDescent="0.25">
      <c r="A95" s="7" t="s">
        <v>323</v>
      </c>
      <c r="B95" s="33" t="s">
        <v>322</v>
      </c>
      <c r="C95" s="8">
        <v>0</v>
      </c>
      <c r="D95" s="8">
        <v>0</v>
      </c>
      <c r="E95" s="8">
        <v>0</v>
      </c>
      <c r="F95" s="8">
        <f>19.22</f>
        <v>19.22</v>
      </c>
      <c r="G95" s="8">
        <f>SUM(C95:F95)</f>
        <v>19.22</v>
      </c>
      <c r="H95" s="8">
        <v>0</v>
      </c>
      <c r="I95" s="8">
        <v>0</v>
      </c>
      <c r="J95" s="8">
        <f>SUM(G95:I95)-19.22</f>
        <v>0</v>
      </c>
      <c r="K95" s="8">
        <v>0</v>
      </c>
      <c r="L95" s="8">
        <v>0</v>
      </c>
      <c r="M95" s="8">
        <f t="shared" si="22"/>
        <v>0</v>
      </c>
      <c r="N95" s="8">
        <v>0</v>
      </c>
      <c r="O95" s="8">
        <v>0</v>
      </c>
      <c r="P95" s="8">
        <v>0</v>
      </c>
      <c r="Q95" s="99">
        <f t="shared" si="21"/>
        <v>0</v>
      </c>
    </row>
    <row r="96" spans="1:17" ht="14.95" customHeight="1" x14ac:dyDescent="0.25">
      <c r="A96" s="7" t="s">
        <v>323</v>
      </c>
      <c r="B96" s="33" t="s">
        <v>418</v>
      </c>
      <c r="C96" s="8">
        <v>0</v>
      </c>
      <c r="D96" s="8"/>
      <c r="E96" s="8"/>
      <c r="F96" s="8"/>
      <c r="G96" s="8"/>
      <c r="H96" s="8"/>
      <c r="I96" s="8"/>
      <c r="J96" s="8">
        <v>0</v>
      </c>
      <c r="K96" s="8">
        <v>0</v>
      </c>
      <c r="L96" s="8">
        <f>40.83</f>
        <v>40.83</v>
      </c>
      <c r="M96" s="8">
        <f>SUM(J96:L96)</f>
        <v>40.83</v>
      </c>
      <c r="N96" s="8">
        <v>0</v>
      </c>
      <c r="O96" s="8">
        <v>0</v>
      </c>
      <c r="P96" s="8">
        <v>0</v>
      </c>
      <c r="Q96" s="99">
        <f t="shared" si="21"/>
        <v>40.83</v>
      </c>
    </row>
    <row r="97" spans="1:17" ht="14.95" customHeight="1" x14ac:dyDescent="0.25">
      <c r="A97" s="7" t="s">
        <v>318</v>
      </c>
      <c r="B97" s="33" t="s">
        <v>319</v>
      </c>
      <c r="C97" s="8">
        <v>0</v>
      </c>
      <c r="D97" s="8">
        <v>0</v>
      </c>
      <c r="E97" s="8">
        <v>0</v>
      </c>
      <c r="F97" s="8">
        <f>601.76</f>
        <v>601.76</v>
      </c>
      <c r="G97" s="8">
        <f>SUM(C97:F97)</f>
        <v>601.76</v>
      </c>
      <c r="H97" s="8">
        <v>0</v>
      </c>
      <c r="I97" s="8">
        <v>0</v>
      </c>
      <c r="J97" s="8">
        <f t="shared" si="23"/>
        <v>601.76</v>
      </c>
      <c r="K97" s="8">
        <v>0</v>
      </c>
      <c r="L97" s="8">
        <v>0</v>
      </c>
      <c r="M97" s="8">
        <f t="shared" si="22"/>
        <v>601.76</v>
      </c>
      <c r="N97" s="8">
        <v>0</v>
      </c>
      <c r="O97" s="8">
        <v>0</v>
      </c>
      <c r="P97" s="8">
        <v>0</v>
      </c>
      <c r="Q97" s="99">
        <f t="shared" si="21"/>
        <v>601.76</v>
      </c>
    </row>
    <row r="98" spans="1:17" ht="14.95" customHeight="1" x14ac:dyDescent="0.25">
      <c r="A98" s="34" t="s">
        <v>51</v>
      </c>
      <c r="B98" s="33" t="s">
        <v>228</v>
      </c>
      <c r="C98" s="8">
        <v>4028</v>
      </c>
      <c r="D98" s="8">
        <v>0</v>
      </c>
      <c r="E98" s="8">
        <v>115</v>
      </c>
      <c r="F98" s="8">
        <v>0</v>
      </c>
      <c r="G98" s="8">
        <f t="shared" si="2"/>
        <v>4143</v>
      </c>
      <c r="H98" s="8">
        <v>0</v>
      </c>
      <c r="I98" s="8">
        <v>0</v>
      </c>
      <c r="J98" s="8">
        <f t="shared" si="23"/>
        <v>4143</v>
      </c>
      <c r="K98" s="8">
        <v>0</v>
      </c>
      <c r="L98" s="8">
        <v>0</v>
      </c>
      <c r="M98" s="8">
        <f t="shared" si="22"/>
        <v>4143</v>
      </c>
      <c r="N98" s="8">
        <v>0</v>
      </c>
      <c r="O98" s="8">
        <v>0</v>
      </c>
      <c r="P98" s="8">
        <v>0</v>
      </c>
      <c r="Q98" s="99">
        <f t="shared" si="21"/>
        <v>4143</v>
      </c>
    </row>
    <row r="99" spans="1:17" ht="14.95" customHeight="1" x14ac:dyDescent="0.25">
      <c r="A99" s="34" t="s">
        <v>331</v>
      </c>
      <c r="B99" s="33" t="s">
        <v>325</v>
      </c>
      <c r="C99" s="8">
        <v>0</v>
      </c>
      <c r="D99" s="8">
        <v>0</v>
      </c>
      <c r="E99" s="8">
        <v>0</v>
      </c>
      <c r="F99" s="8">
        <f>86.63</f>
        <v>86.63</v>
      </c>
      <c r="G99" s="8">
        <f>SUM(C99:F99)</f>
        <v>86.63</v>
      </c>
      <c r="H99" s="8">
        <v>0</v>
      </c>
      <c r="I99" s="8">
        <v>0</v>
      </c>
      <c r="J99" s="8">
        <f>SUM(G99:I99)-86.62</f>
        <v>9.9999999999909051E-3</v>
      </c>
      <c r="K99" s="8">
        <v>0</v>
      </c>
      <c r="L99" s="8">
        <v>0</v>
      </c>
      <c r="M99" s="8">
        <f t="shared" si="22"/>
        <v>9.9999999999909051E-3</v>
      </c>
      <c r="N99" s="8">
        <f>-0.01</f>
        <v>-0.01</v>
      </c>
      <c r="O99" s="8">
        <v>0</v>
      </c>
      <c r="P99" s="8">
        <v>0</v>
      </c>
      <c r="Q99" s="99">
        <f t="shared" si="21"/>
        <v>-9.0951551845463996E-15</v>
      </c>
    </row>
    <row r="100" spans="1:17" ht="14.95" customHeight="1" x14ac:dyDescent="0.25">
      <c r="A100" s="34" t="s">
        <v>331</v>
      </c>
      <c r="B100" s="33" t="s">
        <v>418</v>
      </c>
      <c r="C100" s="8">
        <v>0</v>
      </c>
      <c r="D100" s="8"/>
      <c r="E100" s="8"/>
      <c r="F100" s="8"/>
      <c r="G100" s="8"/>
      <c r="H100" s="8"/>
      <c r="I100" s="8"/>
      <c r="J100" s="8"/>
      <c r="K100" s="8"/>
      <c r="L100" s="8"/>
      <c r="M100" s="8">
        <v>0</v>
      </c>
      <c r="N100" s="8">
        <f>190.03</f>
        <v>190.03</v>
      </c>
      <c r="O100" s="8">
        <v>0</v>
      </c>
      <c r="P100" s="8">
        <v>0</v>
      </c>
      <c r="Q100" s="99">
        <f t="shared" si="21"/>
        <v>190.03</v>
      </c>
    </row>
    <row r="101" spans="1:17" ht="14.95" customHeight="1" x14ac:dyDescent="0.25">
      <c r="A101" s="34" t="s">
        <v>332</v>
      </c>
      <c r="B101" s="33" t="s">
        <v>325</v>
      </c>
      <c r="C101" s="8">
        <v>0</v>
      </c>
      <c r="D101" s="8">
        <v>0</v>
      </c>
      <c r="E101" s="8">
        <v>0</v>
      </c>
      <c r="F101" s="8">
        <f>9.63</f>
        <v>9.6300000000000008</v>
      </c>
      <c r="G101" s="8">
        <f>SUM(C101:F101)</f>
        <v>9.6300000000000008</v>
      </c>
      <c r="H101" s="8">
        <v>0</v>
      </c>
      <c r="I101" s="8">
        <v>0</v>
      </c>
      <c r="J101" s="8">
        <f>SUM(G101:I101)-9.62</f>
        <v>1.0000000000001563E-2</v>
      </c>
      <c r="K101" s="8">
        <v>0</v>
      </c>
      <c r="L101" s="8">
        <v>0</v>
      </c>
      <c r="M101" s="8">
        <f t="shared" si="22"/>
        <v>1.0000000000001563E-2</v>
      </c>
      <c r="N101" s="8">
        <f>-0.01</f>
        <v>-0.01</v>
      </c>
      <c r="O101" s="8">
        <v>0</v>
      </c>
      <c r="P101" s="8">
        <v>0</v>
      </c>
      <c r="Q101" s="99">
        <f t="shared" si="21"/>
        <v>1.5629858518551032E-15</v>
      </c>
    </row>
    <row r="102" spans="1:17" ht="14.95" customHeight="1" x14ac:dyDescent="0.25">
      <c r="A102" s="34" t="s">
        <v>332</v>
      </c>
      <c r="B102" s="33" t="s">
        <v>418</v>
      </c>
      <c r="C102" s="8">
        <v>0</v>
      </c>
      <c r="D102" s="8"/>
      <c r="E102" s="8"/>
      <c r="F102" s="8"/>
      <c r="G102" s="8"/>
      <c r="H102" s="8"/>
      <c r="I102" s="8"/>
      <c r="J102" s="8"/>
      <c r="K102" s="8"/>
      <c r="L102" s="8"/>
      <c r="M102" s="8">
        <v>0</v>
      </c>
      <c r="N102" s="8">
        <f>21.12</f>
        <v>21.12</v>
      </c>
      <c r="O102" s="8">
        <v>0</v>
      </c>
      <c r="P102" s="8">
        <v>0</v>
      </c>
      <c r="Q102" s="99">
        <f t="shared" si="21"/>
        <v>21.12</v>
      </c>
    </row>
    <row r="103" spans="1:17" ht="14.95" customHeight="1" x14ac:dyDescent="0.25">
      <c r="A103" s="34" t="s">
        <v>314</v>
      </c>
      <c r="B103" s="33" t="s">
        <v>302</v>
      </c>
      <c r="C103" s="8">
        <v>0</v>
      </c>
      <c r="D103" s="8">
        <v>0</v>
      </c>
      <c r="E103" s="8">
        <v>0</v>
      </c>
      <c r="F103" s="8">
        <f>603.59</f>
        <v>603.59</v>
      </c>
      <c r="G103" s="8">
        <f>SUM(C103:F103)</f>
        <v>603.59</v>
      </c>
      <c r="H103" s="8">
        <v>0</v>
      </c>
      <c r="I103" s="8">
        <v>0</v>
      </c>
      <c r="J103" s="8">
        <f t="shared" si="23"/>
        <v>603.59</v>
      </c>
      <c r="K103" s="8">
        <v>0</v>
      </c>
      <c r="L103" s="8">
        <v>0</v>
      </c>
      <c r="M103" s="8">
        <f t="shared" si="22"/>
        <v>603.59</v>
      </c>
      <c r="N103" s="8">
        <v>0</v>
      </c>
      <c r="O103" s="8">
        <v>0</v>
      </c>
      <c r="P103" s="8">
        <v>0</v>
      </c>
      <c r="Q103" s="99">
        <f t="shared" si="21"/>
        <v>603.59</v>
      </c>
    </row>
    <row r="104" spans="1:17" ht="14.95" customHeight="1" x14ac:dyDescent="0.25">
      <c r="A104" s="34" t="s">
        <v>52</v>
      </c>
      <c r="B104" s="33" t="s">
        <v>228</v>
      </c>
      <c r="C104" s="8">
        <v>420</v>
      </c>
      <c r="D104" s="8">
        <v>0</v>
      </c>
      <c r="E104" s="8">
        <v>40</v>
      </c>
      <c r="F104" s="8">
        <v>0</v>
      </c>
      <c r="G104" s="8">
        <f t="shared" ref="G104:G233" si="24">SUM(C104:F104)</f>
        <v>460</v>
      </c>
      <c r="H104" s="8">
        <v>0</v>
      </c>
      <c r="I104" s="8">
        <v>0</v>
      </c>
      <c r="J104" s="8">
        <f t="shared" si="23"/>
        <v>460</v>
      </c>
      <c r="K104" s="8">
        <v>0</v>
      </c>
      <c r="L104" s="8">
        <v>0</v>
      </c>
      <c r="M104" s="8">
        <f t="shared" si="22"/>
        <v>460</v>
      </c>
      <c r="N104" s="8">
        <v>0</v>
      </c>
      <c r="O104" s="8">
        <v>0</v>
      </c>
      <c r="P104" s="8">
        <v>0</v>
      </c>
      <c r="Q104" s="99">
        <f t="shared" si="21"/>
        <v>460</v>
      </c>
    </row>
    <row r="105" spans="1:17" ht="14.95" customHeight="1" x14ac:dyDescent="0.25">
      <c r="A105" s="34" t="s">
        <v>333</v>
      </c>
      <c r="B105" s="33" t="s">
        <v>302</v>
      </c>
      <c r="C105" s="8">
        <v>0</v>
      </c>
      <c r="D105" s="8">
        <v>0</v>
      </c>
      <c r="E105" s="8">
        <v>0</v>
      </c>
      <c r="F105" s="8">
        <f>304.01</f>
        <v>304.01</v>
      </c>
      <c r="G105" s="8">
        <f>SUM(C105:F105)</f>
        <v>304.01</v>
      </c>
      <c r="H105" s="8">
        <v>0</v>
      </c>
      <c r="I105" s="8">
        <v>0</v>
      </c>
      <c r="J105" s="8">
        <f t="shared" si="23"/>
        <v>304.01</v>
      </c>
      <c r="K105" s="8">
        <v>0</v>
      </c>
      <c r="L105" s="8">
        <v>0</v>
      </c>
      <c r="M105" s="8">
        <f t="shared" si="22"/>
        <v>304.01</v>
      </c>
      <c r="N105" s="8">
        <v>0</v>
      </c>
      <c r="O105" s="8">
        <v>0</v>
      </c>
      <c r="P105" s="8">
        <v>0</v>
      </c>
      <c r="Q105" s="99">
        <f t="shared" si="21"/>
        <v>304.01</v>
      </c>
    </row>
    <row r="106" spans="1:17" ht="14.95" customHeight="1" x14ac:dyDescent="0.25">
      <c r="A106" s="34" t="s">
        <v>463</v>
      </c>
      <c r="B106" s="33" t="s">
        <v>418</v>
      </c>
      <c r="C106" s="8">
        <v>0</v>
      </c>
      <c r="D106" s="8"/>
      <c r="E106" s="8"/>
      <c r="F106" s="8"/>
      <c r="G106" s="8"/>
      <c r="H106" s="8"/>
      <c r="I106" s="8"/>
      <c r="J106" s="8"/>
      <c r="K106" s="8"/>
      <c r="L106" s="8"/>
      <c r="M106" s="8">
        <v>0</v>
      </c>
      <c r="N106" s="8">
        <f>19.01</f>
        <v>19.010000000000002</v>
      </c>
      <c r="O106" s="8">
        <v>0</v>
      </c>
      <c r="P106" s="8">
        <v>0</v>
      </c>
      <c r="Q106" s="99">
        <f t="shared" si="21"/>
        <v>19.010000000000002</v>
      </c>
    </row>
    <row r="107" spans="1:17" ht="14.95" customHeight="1" x14ac:dyDescent="0.25">
      <c r="A107" s="34" t="s">
        <v>464</v>
      </c>
      <c r="B107" s="33" t="s">
        <v>418</v>
      </c>
      <c r="C107" s="8">
        <v>0</v>
      </c>
      <c r="D107" s="8"/>
      <c r="E107" s="8"/>
      <c r="F107" s="8"/>
      <c r="G107" s="8"/>
      <c r="H107" s="8"/>
      <c r="I107" s="8"/>
      <c r="J107" s="8"/>
      <c r="K107" s="8"/>
      <c r="L107" s="8"/>
      <c r="M107" s="8">
        <v>0</v>
      </c>
      <c r="N107" s="8">
        <f>2.12</f>
        <v>2.12</v>
      </c>
      <c r="O107" s="8">
        <v>0</v>
      </c>
      <c r="P107" s="8">
        <v>0</v>
      </c>
      <c r="Q107" s="99">
        <f t="shared" si="21"/>
        <v>2.12</v>
      </c>
    </row>
    <row r="108" spans="1:17" ht="14.95" customHeight="1" x14ac:dyDescent="0.25">
      <c r="A108" s="34" t="s">
        <v>53</v>
      </c>
      <c r="B108" s="33" t="s">
        <v>228</v>
      </c>
      <c r="C108" s="8">
        <v>343</v>
      </c>
      <c r="D108" s="8">
        <v>0</v>
      </c>
      <c r="E108" s="8">
        <v>40</v>
      </c>
      <c r="F108" s="8">
        <v>0</v>
      </c>
      <c r="G108" s="8">
        <f t="shared" si="24"/>
        <v>383</v>
      </c>
      <c r="H108" s="8">
        <v>0</v>
      </c>
      <c r="I108" s="8">
        <v>0</v>
      </c>
      <c r="J108" s="8">
        <f t="shared" si="23"/>
        <v>383</v>
      </c>
      <c r="K108" s="8">
        <v>0</v>
      </c>
      <c r="L108" s="8">
        <v>0</v>
      </c>
      <c r="M108" s="8">
        <f t="shared" si="22"/>
        <v>383</v>
      </c>
      <c r="N108" s="8">
        <v>0</v>
      </c>
      <c r="O108" s="8">
        <v>0</v>
      </c>
      <c r="P108" s="8">
        <v>0</v>
      </c>
      <c r="Q108" s="99">
        <f t="shared" si="21"/>
        <v>383</v>
      </c>
    </row>
    <row r="109" spans="1:17" ht="14.95" customHeight="1" x14ac:dyDescent="0.25">
      <c r="A109" s="34" t="s">
        <v>405</v>
      </c>
      <c r="B109" s="33" t="s">
        <v>403</v>
      </c>
      <c r="C109" s="8">
        <v>0</v>
      </c>
      <c r="D109" s="8"/>
      <c r="E109" s="8"/>
      <c r="F109" s="8"/>
      <c r="G109" s="8"/>
      <c r="H109" s="8"/>
      <c r="I109" s="8"/>
      <c r="J109" s="8">
        <f>345.16</f>
        <v>345.16</v>
      </c>
      <c r="K109" s="8">
        <v>0</v>
      </c>
      <c r="L109" s="8">
        <v>0</v>
      </c>
      <c r="M109" s="8">
        <f t="shared" si="22"/>
        <v>345.16</v>
      </c>
      <c r="N109" s="8">
        <v>0</v>
      </c>
      <c r="O109" s="8">
        <v>0</v>
      </c>
      <c r="P109" s="8">
        <v>0</v>
      </c>
      <c r="Q109" s="99">
        <f t="shared" si="21"/>
        <v>345.16</v>
      </c>
    </row>
    <row r="110" spans="1:17" ht="14.95" customHeight="1" x14ac:dyDescent="0.25">
      <c r="A110" s="34" t="s">
        <v>54</v>
      </c>
      <c r="B110" s="33" t="s">
        <v>228</v>
      </c>
      <c r="C110" s="8">
        <v>4253</v>
      </c>
      <c r="D110" s="8">
        <v>0</v>
      </c>
      <c r="E110" s="8">
        <v>392</v>
      </c>
      <c r="F110" s="8">
        <v>0</v>
      </c>
      <c r="G110" s="8">
        <f t="shared" si="24"/>
        <v>4645</v>
      </c>
      <c r="H110" s="8">
        <v>0</v>
      </c>
      <c r="I110" s="8">
        <v>0</v>
      </c>
      <c r="J110" s="8">
        <f t="shared" si="23"/>
        <v>4645</v>
      </c>
      <c r="K110" s="8">
        <f>550</f>
        <v>550</v>
      </c>
      <c r="L110" s="8">
        <v>0</v>
      </c>
      <c r="M110" s="8">
        <f t="shared" si="22"/>
        <v>5195</v>
      </c>
      <c r="N110" s="8">
        <v>0</v>
      </c>
      <c r="O110" s="8">
        <f>56-550</f>
        <v>-494</v>
      </c>
      <c r="P110" s="8">
        <v>0</v>
      </c>
      <c r="Q110" s="99">
        <f t="shared" si="21"/>
        <v>4701</v>
      </c>
    </row>
    <row r="111" spans="1:17" ht="14.95" customHeight="1" x14ac:dyDescent="0.25">
      <c r="A111" s="34" t="s">
        <v>449</v>
      </c>
      <c r="B111" s="33" t="s">
        <v>304</v>
      </c>
      <c r="C111" s="8">
        <v>0</v>
      </c>
      <c r="D111" s="8"/>
      <c r="E111" s="8"/>
      <c r="F111" s="8"/>
      <c r="G111" s="8"/>
      <c r="H111" s="8"/>
      <c r="I111" s="8"/>
      <c r="J111" s="8"/>
      <c r="K111" s="8"/>
      <c r="L111" s="8"/>
      <c r="M111" s="8">
        <v>0</v>
      </c>
      <c r="N111" s="8">
        <v>0</v>
      </c>
      <c r="O111" s="8">
        <f>550</f>
        <v>550</v>
      </c>
      <c r="P111" s="8">
        <v>0</v>
      </c>
      <c r="Q111" s="99">
        <f t="shared" si="21"/>
        <v>550</v>
      </c>
    </row>
    <row r="112" spans="1:17" ht="14.95" customHeight="1" x14ac:dyDescent="0.25">
      <c r="A112" s="34" t="s">
        <v>324</v>
      </c>
      <c r="B112" s="33" t="s">
        <v>325</v>
      </c>
      <c r="C112" s="8">
        <v>0</v>
      </c>
      <c r="D112" s="8">
        <v>0</v>
      </c>
      <c r="E112" s="8">
        <v>0</v>
      </c>
      <c r="F112" s="8">
        <f>144.39</f>
        <v>144.38999999999999</v>
      </c>
      <c r="G112" s="8">
        <f>SUM(C112:F112)</f>
        <v>144.38999999999999</v>
      </c>
      <c r="H112" s="8">
        <v>0</v>
      </c>
      <c r="I112" s="8">
        <v>0</v>
      </c>
      <c r="J112" s="8">
        <f>SUM(G112:I112)-144.38</f>
        <v>9.9999999999909051E-3</v>
      </c>
      <c r="K112" s="8">
        <v>0</v>
      </c>
      <c r="L112" s="8">
        <v>0</v>
      </c>
      <c r="M112" s="8">
        <f t="shared" si="22"/>
        <v>9.9999999999909051E-3</v>
      </c>
      <c r="N112" s="8">
        <f>-0.01</f>
        <v>-0.01</v>
      </c>
      <c r="O112" s="8">
        <v>0</v>
      </c>
      <c r="P112" s="8">
        <v>0</v>
      </c>
      <c r="Q112" s="99">
        <f t="shared" si="21"/>
        <v>-9.0951551845463996E-15</v>
      </c>
    </row>
    <row r="113" spans="1:17" ht="14.95" customHeight="1" x14ac:dyDescent="0.25">
      <c r="A113" s="34" t="s">
        <v>324</v>
      </c>
      <c r="B113" s="33" t="s">
        <v>418</v>
      </c>
      <c r="C113" s="8">
        <v>0</v>
      </c>
      <c r="D113" s="8"/>
      <c r="E113" s="8"/>
      <c r="F113" s="8"/>
      <c r="G113" s="8"/>
      <c r="H113" s="8"/>
      <c r="I113" s="8"/>
      <c r="J113" s="8"/>
      <c r="K113" s="8"/>
      <c r="L113" s="8"/>
      <c r="M113" s="8">
        <v>0</v>
      </c>
      <c r="N113" s="8">
        <f>158.36</f>
        <v>158.36000000000001</v>
      </c>
      <c r="O113" s="8">
        <v>0</v>
      </c>
      <c r="P113" s="8">
        <v>0</v>
      </c>
      <c r="Q113" s="99">
        <f t="shared" si="21"/>
        <v>158.36000000000001</v>
      </c>
    </row>
    <row r="114" spans="1:17" ht="14.95" customHeight="1" x14ac:dyDescent="0.25">
      <c r="A114" s="34" t="s">
        <v>326</v>
      </c>
      <c r="B114" s="33" t="s">
        <v>325</v>
      </c>
      <c r="C114" s="8">
        <v>0</v>
      </c>
      <c r="D114" s="8">
        <v>0</v>
      </c>
      <c r="E114" s="8">
        <v>0</v>
      </c>
      <c r="F114" s="8">
        <f>16.05</f>
        <v>16.05</v>
      </c>
      <c r="G114" s="8">
        <f>SUM(C114:F114)</f>
        <v>16.05</v>
      </c>
      <c r="H114" s="8">
        <v>0</v>
      </c>
      <c r="I114" s="8">
        <v>0</v>
      </c>
      <c r="J114" s="8">
        <f>SUM(G114:I114)-16.04</f>
        <v>1.0000000000001563E-2</v>
      </c>
      <c r="K114" s="8">
        <v>0</v>
      </c>
      <c r="L114" s="8">
        <v>0</v>
      </c>
      <c r="M114" s="8">
        <f t="shared" si="22"/>
        <v>1.0000000000001563E-2</v>
      </c>
      <c r="N114" s="8">
        <f>-0.01</f>
        <v>-0.01</v>
      </c>
      <c r="O114" s="8">
        <v>0</v>
      </c>
      <c r="P114" s="8">
        <v>0</v>
      </c>
      <c r="Q114" s="99">
        <f t="shared" si="21"/>
        <v>1.5629858518551032E-15</v>
      </c>
    </row>
    <row r="115" spans="1:17" ht="14.95" customHeight="1" x14ac:dyDescent="0.25">
      <c r="A115" s="34" t="s">
        <v>326</v>
      </c>
      <c r="B115" s="33" t="s">
        <v>418</v>
      </c>
      <c r="C115" s="8">
        <v>0</v>
      </c>
      <c r="D115" s="8"/>
      <c r="E115" s="8"/>
      <c r="F115" s="8"/>
      <c r="G115" s="8"/>
      <c r="H115" s="8"/>
      <c r="I115" s="8"/>
      <c r="J115" s="8"/>
      <c r="K115" s="8"/>
      <c r="L115" s="8"/>
      <c r="M115" s="8">
        <v>0</v>
      </c>
      <c r="N115" s="8">
        <f>17.6</f>
        <v>17.600000000000001</v>
      </c>
      <c r="O115" s="8">
        <v>0</v>
      </c>
      <c r="P115" s="8">
        <v>0</v>
      </c>
      <c r="Q115" s="99">
        <f t="shared" si="21"/>
        <v>17.600000000000001</v>
      </c>
    </row>
    <row r="116" spans="1:17" ht="14.95" customHeight="1" x14ac:dyDescent="0.25">
      <c r="A116" s="34" t="s">
        <v>456</v>
      </c>
      <c r="B116" s="33" t="s">
        <v>457</v>
      </c>
      <c r="C116" s="8">
        <v>0</v>
      </c>
      <c r="D116" s="8"/>
      <c r="E116" s="8"/>
      <c r="F116" s="8"/>
      <c r="G116" s="8"/>
      <c r="H116" s="8"/>
      <c r="I116" s="8"/>
      <c r="J116" s="8"/>
      <c r="K116" s="8"/>
      <c r="L116" s="8"/>
      <c r="M116" s="8">
        <v>0</v>
      </c>
      <c r="N116" s="8">
        <f>681.14</f>
        <v>681.14</v>
      </c>
      <c r="O116" s="8">
        <v>0</v>
      </c>
      <c r="P116" s="8">
        <v>0</v>
      </c>
      <c r="Q116" s="99">
        <f t="shared" si="21"/>
        <v>681.14</v>
      </c>
    </row>
    <row r="117" spans="1:17" ht="14.95" customHeight="1" x14ac:dyDescent="0.25">
      <c r="A117" s="34" t="s">
        <v>55</v>
      </c>
      <c r="B117" s="33" t="s">
        <v>228</v>
      </c>
      <c r="C117" s="8">
        <v>385</v>
      </c>
      <c r="D117" s="8">
        <v>0</v>
      </c>
      <c r="E117" s="8">
        <v>40</v>
      </c>
      <c r="F117" s="8">
        <v>0</v>
      </c>
      <c r="G117" s="8">
        <f t="shared" si="24"/>
        <v>425</v>
      </c>
      <c r="H117" s="8">
        <v>0</v>
      </c>
      <c r="I117" s="8">
        <v>0</v>
      </c>
      <c r="J117" s="8">
        <f t="shared" si="23"/>
        <v>425</v>
      </c>
      <c r="K117" s="8">
        <v>0</v>
      </c>
      <c r="L117" s="8">
        <v>0</v>
      </c>
      <c r="M117" s="8">
        <f t="shared" si="22"/>
        <v>425</v>
      </c>
      <c r="N117" s="8">
        <v>0</v>
      </c>
      <c r="O117" s="8">
        <v>0</v>
      </c>
      <c r="P117" s="8">
        <v>0</v>
      </c>
      <c r="Q117" s="99">
        <f t="shared" si="21"/>
        <v>425</v>
      </c>
    </row>
    <row r="118" spans="1:17" ht="14.95" customHeight="1" x14ac:dyDescent="0.25">
      <c r="A118" s="34" t="s">
        <v>413</v>
      </c>
      <c r="B118" s="33" t="s">
        <v>447</v>
      </c>
      <c r="C118" s="8">
        <v>0</v>
      </c>
      <c r="D118" s="8"/>
      <c r="E118" s="8"/>
      <c r="F118" s="8"/>
      <c r="G118" s="8"/>
      <c r="H118" s="8"/>
      <c r="I118" s="8"/>
      <c r="J118" s="8">
        <f>228.01</f>
        <v>228.01</v>
      </c>
      <c r="K118" s="8">
        <v>0</v>
      </c>
      <c r="L118" s="8">
        <f>45.33</f>
        <v>45.33</v>
      </c>
      <c r="M118" s="8">
        <f t="shared" si="22"/>
        <v>273.33999999999997</v>
      </c>
      <c r="N118" s="8">
        <v>0</v>
      </c>
      <c r="O118" s="8">
        <v>0</v>
      </c>
      <c r="P118" s="8">
        <v>0</v>
      </c>
      <c r="Q118" s="99">
        <f t="shared" si="21"/>
        <v>273.33999999999997</v>
      </c>
    </row>
    <row r="119" spans="1:17" ht="14.95" customHeight="1" x14ac:dyDescent="0.25">
      <c r="A119" s="34" t="s">
        <v>428</v>
      </c>
      <c r="B119" s="33" t="s">
        <v>418</v>
      </c>
      <c r="C119" s="8">
        <v>0</v>
      </c>
      <c r="D119" s="8"/>
      <c r="E119" s="8"/>
      <c r="F119" s="8"/>
      <c r="G119" s="8"/>
      <c r="H119" s="8"/>
      <c r="I119" s="8"/>
      <c r="J119" s="8">
        <v>0</v>
      </c>
      <c r="K119" s="8">
        <v>0</v>
      </c>
      <c r="L119" s="8">
        <f>25.34</f>
        <v>25.34</v>
      </c>
      <c r="M119" s="8">
        <f>SUM(J119:L119)</f>
        <v>25.34</v>
      </c>
      <c r="N119" s="8">
        <v>0</v>
      </c>
      <c r="O119" s="8">
        <v>0</v>
      </c>
      <c r="P119" s="8">
        <v>0</v>
      </c>
      <c r="Q119" s="99">
        <f t="shared" si="21"/>
        <v>25.34</v>
      </c>
    </row>
    <row r="120" spans="1:17" ht="14.95" customHeight="1" x14ac:dyDescent="0.25">
      <c r="A120" s="34" t="s">
        <v>429</v>
      </c>
      <c r="B120" s="33" t="s">
        <v>418</v>
      </c>
      <c r="C120" s="8">
        <v>0</v>
      </c>
      <c r="D120" s="8"/>
      <c r="E120" s="8"/>
      <c r="F120" s="8"/>
      <c r="G120" s="8"/>
      <c r="H120" s="8"/>
      <c r="I120" s="8"/>
      <c r="J120" s="8">
        <v>0</v>
      </c>
      <c r="K120" s="8">
        <v>0</v>
      </c>
      <c r="L120" s="8">
        <f>2.82</f>
        <v>2.82</v>
      </c>
      <c r="M120" s="8">
        <f>SUM(J120:L120)</f>
        <v>2.82</v>
      </c>
      <c r="N120" s="8">
        <v>0</v>
      </c>
      <c r="O120" s="8">
        <v>0</v>
      </c>
      <c r="P120" s="8">
        <v>0</v>
      </c>
      <c r="Q120" s="99">
        <f t="shared" si="21"/>
        <v>2.82</v>
      </c>
    </row>
    <row r="121" spans="1:17" ht="14.95" customHeight="1" x14ac:dyDescent="0.25">
      <c r="A121" s="34" t="s">
        <v>56</v>
      </c>
      <c r="B121" s="33" t="s">
        <v>228</v>
      </c>
      <c r="C121" s="8">
        <v>3698</v>
      </c>
      <c r="D121" s="8">
        <v>0</v>
      </c>
      <c r="E121" s="8">
        <v>72</v>
      </c>
      <c r="F121" s="8">
        <v>0</v>
      </c>
      <c r="G121" s="8">
        <f t="shared" si="24"/>
        <v>3770</v>
      </c>
      <c r="H121" s="8">
        <v>0</v>
      </c>
      <c r="I121" s="8">
        <v>0</v>
      </c>
      <c r="J121" s="8">
        <f t="shared" si="23"/>
        <v>3770</v>
      </c>
      <c r="K121" s="8">
        <f>278</f>
        <v>278</v>
      </c>
      <c r="L121" s="8">
        <v>0</v>
      </c>
      <c r="M121" s="8">
        <f t="shared" si="22"/>
        <v>4048</v>
      </c>
      <c r="N121" s="8">
        <v>0</v>
      </c>
      <c r="O121" s="8">
        <f>70</f>
        <v>70</v>
      </c>
      <c r="P121" s="8">
        <v>0</v>
      </c>
      <c r="Q121" s="99">
        <f t="shared" si="21"/>
        <v>4118</v>
      </c>
    </row>
    <row r="122" spans="1:17" ht="14.95" customHeight="1" x14ac:dyDescent="0.25">
      <c r="A122" s="34" t="s">
        <v>327</v>
      </c>
      <c r="B122" s="33" t="s">
        <v>325</v>
      </c>
      <c r="C122" s="8">
        <v>0</v>
      </c>
      <c r="D122" s="8">
        <v>0</v>
      </c>
      <c r="E122" s="8">
        <v>0</v>
      </c>
      <c r="F122" s="8">
        <f>202.14</f>
        <v>202.14</v>
      </c>
      <c r="G122" s="8">
        <f>SUM(C122:F122)</f>
        <v>202.14</v>
      </c>
      <c r="H122" s="8">
        <v>0</v>
      </c>
      <c r="I122" s="8">
        <v>0</v>
      </c>
      <c r="J122" s="8">
        <f>SUM(G122:I122)-202.13</f>
        <v>9.9999999999909051E-3</v>
      </c>
      <c r="K122" s="8">
        <v>0</v>
      </c>
      <c r="L122" s="8">
        <v>0</v>
      </c>
      <c r="M122" s="8">
        <f t="shared" si="22"/>
        <v>9.9999999999909051E-3</v>
      </c>
      <c r="N122" s="8">
        <f>-0.01</f>
        <v>-0.01</v>
      </c>
      <c r="O122" s="8">
        <v>0</v>
      </c>
      <c r="P122" s="8">
        <v>0</v>
      </c>
      <c r="Q122" s="99">
        <f t="shared" si="21"/>
        <v>-9.0951551845463996E-15</v>
      </c>
    </row>
    <row r="123" spans="1:17" ht="14.95" customHeight="1" x14ac:dyDescent="0.25">
      <c r="A123" s="34" t="s">
        <v>327</v>
      </c>
      <c r="B123" s="33" t="s">
        <v>418</v>
      </c>
      <c r="C123" s="8">
        <v>0</v>
      </c>
      <c r="D123" s="8"/>
      <c r="E123" s="8"/>
      <c r="F123" s="8"/>
      <c r="G123" s="8"/>
      <c r="H123" s="8"/>
      <c r="I123" s="8"/>
      <c r="J123" s="8"/>
      <c r="K123" s="8"/>
      <c r="L123" s="8"/>
      <c r="M123" s="8">
        <v>0</v>
      </c>
      <c r="N123" s="8">
        <f>221.7</f>
        <v>221.7</v>
      </c>
      <c r="O123" s="8">
        <v>0</v>
      </c>
      <c r="P123" s="8">
        <v>0</v>
      </c>
      <c r="Q123" s="99">
        <f t="shared" si="21"/>
        <v>221.7</v>
      </c>
    </row>
    <row r="124" spans="1:17" ht="14.95" customHeight="1" x14ac:dyDescent="0.25">
      <c r="A124" s="34" t="s">
        <v>328</v>
      </c>
      <c r="B124" s="33" t="s">
        <v>325</v>
      </c>
      <c r="C124" s="8">
        <v>0</v>
      </c>
      <c r="D124" s="8">
        <v>0</v>
      </c>
      <c r="E124" s="8">
        <v>0</v>
      </c>
      <c r="F124" s="8">
        <f>22.46</f>
        <v>22.46</v>
      </c>
      <c r="G124" s="8">
        <f>SUM(C124:F124)</f>
        <v>22.46</v>
      </c>
      <c r="H124" s="8">
        <v>0</v>
      </c>
      <c r="I124" s="8">
        <v>0</v>
      </c>
      <c r="J124" s="8">
        <f>SUM(G124:I124)-22.45</f>
        <v>1.0000000000001563E-2</v>
      </c>
      <c r="K124" s="8">
        <v>0</v>
      </c>
      <c r="L124" s="8">
        <v>0</v>
      </c>
      <c r="M124" s="8">
        <f t="shared" si="22"/>
        <v>1.0000000000001563E-2</v>
      </c>
      <c r="N124" s="8">
        <f>-0.01</f>
        <v>-0.01</v>
      </c>
      <c r="O124" s="8">
        <v>0</v>
      </c>
      <c r="P124" s="8">
        <v>0</v>
      </c>
      <c r="Q124" s="99">
        <f t="shared" si="21"/>
        <v>1.5629858518551032E-15</v>
      </c>
    </row>
    <row r="125" spans="1:17" ht="14.95" customHeight="1" x14ac:dyDescent="0.25">
      <c r="A125" s="34" t="s">
        <v>328</v>
      </c>
      <c r="B125" s="33" t="s">
        <v>418</v>
      </c>
      <c r="C125" s="8">
        <v>0</v>
      </c>
      <c r="D125" s="8"/>
      <c r="E125" s="8"/>
      <c r="F125" s="8"/>
      <c r="G125" s="8"/>
      <c r="H125" s="8"/>
      <c r="I125" s="8"/>
      <c r="J125" s="8"/>
      <c r="K125" s="8"/>
      <c r="L125" s="8"/>
      <c r="M125" s="8">
        <v>0</v>
      </c>
      <c r="N125" s="8">
        <f>24.64</f>
        <v>24.64</v>
      </c>
      <c r="O125" s="8">
        <v>0</v>
      </c>
      <c r="P125" s="8">
        <v>0</v>
      </c>
      <c r="Q125" s="99">
        <f t="shared" si="21"/>
        <v>24.64</v>
      </c>
    </row>
    <row r="126" spans="1:17" ht="14.95" customHeight="1" x14ac:dyDescent="0.25">
      <c r="A126" s="34" t="s">
        <v>311</v>
      </c>
      <c r="B126" s="33" t="s">
        <v>304</v>
      </c>
      <c r="C126" s="8">
        <v>0</v>
      </c>
      <c r="D126" s="8">
        <v>0</v>
      </c>
      <c r="E126" s="8">
        <v>0</v>
      </c>
      <c r="F126" s="8">
        <f>653.56</f>
        <v>653.55999999999995</v>
      </c>
      <c r="G126" s="8">
        <f>SUM(C126:F126)</f>
        <v>653.55999999999995</v>
      </c>
      <c r="H126" s="8">
        <v>0</v>
      </c>
      <c r="I126" s="8">
        <v>0</v>
      </c>
      <c r="J126" s="8">
        <f t="shared" si="23"/>
        <v>653.55999999999995</v>
      </c>
      <c r="K126" s="8">
        <v>0</v>
      </c>
      <c r="L126" s="8">
        <v>0</v>
      </c>
      <c r="M126" s="8">
        <f t="shared" si="22"/>
        <v>653.55999999999995</v>
      </c>
      <c r="N126" s="8">
        <v>0</v>
      </c>
      <c r="O126" s="8">
        <v>0</v>
      </c>
      <c r="P126" s="8">
        <v>0</v>
      </c>
      <c r="Q126" s="99">
        <f t="shared" si="21"/>
        <v>653.55999999999995</v>
      </c>
    </row>
    <row r="127" spans="1:17" ht="14.95" customHeight="1" x14ac:dyDescent="0.25">
      <c r="A127" s="34" t="s">
        <v>57</v>
      </c>
      <c r="B127" s="33" t="s">
        <v>228</v>
      </c>
      <c r="C127" s="8">
        <v>4194</v>
      </c>
      <c r="D127" s="8">
        <v>0</v>
      </c>
      <c r="E127" s="8">
        <v>105</v>
      </c>
      <c r="F127" s="8">
        <v>0</v>
      </c>
      <c r="G127" s="8">
        <f t="shared" si="24"/>
        <v>4299</v>
      </c>
      <c r="H127" s="8">
        <v>0</v>
      </c>
      <c r="I127" s="8">
        <v>0</v>
      </c>
      <c r="J127" s="8">
        <f t="shared" si="23"/>
        <v>4299</v>
      </c>
      <c r="K127" s="8">
        <v>0</v>
      </c>
      <c r="L127" s="8">
        <v>0</v>
      </c>
      <c r="M127" s="8">
        <f t="shared" si="22"/>
        <v>4299</v>
      </c>
      <c r="N127" s="8">
        <v>0</v>
      </c>
      <c r="O127" s="8">
        <v>0</v>
      </c>
      <c r="P127" s="8">
        <v>0</v>
      </c>
      <c r="Q127" s="99">
        <f t="shared" si="21"/>
        <v>4299</v>
      </c>
    </row>
    <row r="128" spans="1:17" ht="14.95" customHeight="1" x14ac:dyDescent="0.25">
      <c r="A128" s="34" t="s">
        <v>315</v>
      </c>
      <c r="B128" s="33" t="s">
        <v>302</v>
      </c>
      <c r="C128" s="8">
        <v>0</v>
      </c>
      <c r="D128" s="8">
        <v>0</v>
      </c>
      <c r="E128" s="8">
        <v>0</v>
      </c>
      <c r="F128" s="8">
        <f>554.24</f>
        <v>554.24</v>
      </c>
      <c r="G128" s="8">
        <f>SUM(C128:F128)</f>
        <v>554.24</v>
      </c>
      <c r="H128" s="8">
        <v>0</v>
      </c>
      <c r="I128" s="8">
        <v>0</v>
      </c>
      <c r="J128" s="8">
        <f t="shared" si="23"/>
        <v>554.24</v>
      </c>
      <c r="K128" s="8">
        <v>0</v>
      </c>
      <c r="L128" s="8">
        <v>0</v>
      </c>
      <c r="M128" s="8">
        <f t="shared" si="22"/>
        <v>554.24</v>
      </c>
      <c r="N128" s="8">
        <v>0</v>
      </c>
      <c r="O128" s="8">
        <v>0</v>
      </c>
      <c r="P128" s="8">
        <v>0</v>
      </c>
      <c r="Q128" s="99">
        <f t="shared" si="21"/>
        <v>554.24</v>
      </c>
    </row>
    <row r="129" spans="1:17" ht="36.700000000000003" customHeight="1" x14ac:dyDescent="0.25">
      <c r="A129" s="7" t="s">
        <v>275</v>
      </c>
      <c r="B129" s="33" t="s">
        <v>228</v>
      </c>
      <c r="C129" s="8">
        <v>0</v>
      </c>
      <c r="D129" s="8">
        <v>0</v>
      </c>
      <c r="E129" s="8">
        <v>53.41</v>
      </c>
      <c r="F129" s="8">
        <v>0</v>
      </c>
      <c r="G129" s="8">
        <f t="shared" si="24"/>
        <v>53.41</v>
      </c>
      <c r="H129" s="8">
        <v>0</v>
      </c>
      <c r="I129" s="8">
        <v>0</v>
      </c>
      <c r="J129" s="8">
        <f t="shared" si="23"/>
        <v>53.41</v>
      </c>
      <c r="K129" s="8">
        <v>0</v>
      </c>
      <c r="L129" s="8">
        <v>0</v>
      </c>
      <c r="M129" s="8">
        <f t="shared" si="22"/>
        <v>53.41</v>
      </c>
      <c r="N129" s="8">
        <v>0</v>
      </c>
      <c r="O129" s="8">
        <v>0</v>
      </c>
      <c r="P129" s="8">
        <v>0</v>
      </c>
      <c r="Q129" s="99">
        <f t="shared" si="21"/>
        <v>53.41</v>
      </c>
    </row>
    <row r="130" spans="1:17" ht="14.95" customHeight="1" x14ac:dyDescent="0.25">
      <c r="A130" s="7" t="s">
        <v>58</v>
      </c>
      <c r="B130" s="33" t="s">
        <v>228</v>
      </c>
      <c r="C130" s="8">
        <v>9731</v>
      </c>
      <c r="D130" s="8">
        <v>0</v>
      </c>
      <c r="E130" s="8">
        <v>988</v>
      </c>
      <c r="F130" s="8">
        <v>0</v>
      </c>
      <c r="G130" s="8">
        <f t="shared" si="24"/>
        <v>10719</v>
      </c>
      <c r="H130" s="8">
        <v>0</v>
      </c>
      <c r="I130" s="8">
        <v>0</v>
      </c>
      <c r="J130" s="8">
        <f t="shared" si="23"/>
        <v>10719</v>
      </c>
      <c r="K130" s="8">
        <f>45.52</f>
        <v>45.52</v>
      </c>
      <c r="L130" s="8">
        <v>0</v>
      </c>
      <c r="M130" s="8">
        <f t="shared" si="22"/>
        <v>10764.52</v>
      </c>
      <c r="N130" s="8">
        <v>0</v>
      </c>
      <c r="O130" s="8">
        <f>-546+465</f>
        <v>-81</v>
      </c>
      <c r="P130" s="8">
        <v>0</v>
      </c>
      <c r="Q130" s="99">
        <f t="shared" si="21"/>
        <v>10683.52</v>
      </c>
    </row>
    <row r="131" spans="1:17" ht="14.95" customHeight="1" x14ac:dyDescent="0.25">
      <c r="A131" s="7" t="s">
        <v>436</v>
      </c>
      <c r="B131" s="33" t="s">
        <v>418</v>
      </c>
      <c r="C131" s="8">
        <v>0</v>
      </c>
      <c r="D131" s="8"/>
      <c r="E131" s="8"/>
      <c r="F131" s="8"/>
      <c r="G131" s="8"/>
      <c r="H131" s="8"/>
      <c r="I131" s="8"/>
      <c r="J131" s="8">
        <v>0</v>
      </c>
      <c r="K131" s="8">
        <v>0</v>
      </c>
      <c r="L131" s="8">
        <f>380.62</f>
        <v>380.62</v>
      </c>
      <c r="M131" s="8">
        <f>SUM(J131:L131)</f>
        <v>380.62</v>
      </c>
      <c r="N131" s="8">
        <v>0</v>
      </c>
      <c r="O131" s="8">
        <v>0</v>
      </c>
      <c r="P131" s="8">
        <v>0</v>
      </c>
      <c r="Q131" s="99">
        <f t="shared" si="21"/>
        <v>380.62</v>
      </c>
    </row>
    <row r="132" spans="1:17" ht="14.95" customHeight="1" x14ac:dyDescent="0.25">
      <c r="A132" s="7" t="s">
        <v>437</v>
      </c>
      <c r="B132" s="33" t="s">
        <v>418</v>
      </c>
      <c r="C132" s="8">
        <v>0</v>
      </c>
      <c r="D132" s="8"/>
      <c r="E132" s="8"/>
      <c r="F132" s="8"/>
      <c r="G132" s="8"/>
      <c r="H132" s="8"/>
      <c r="I132" s="8"/>
      <c r="J132" s="8">
        <v>0</v>
      </c>
      <c r="K132" s="8">
        <v>0</v>
      </c>
      <c r="L132" s="8">
        <f>42.3</f>
        <v>42.3</v>
      </c>
      <c r="M132" s="8">
        <f>SUM(J132:L132)</f>
        <v>42.3</v>
      </c>
      <c r="N132" s="8">
        <v>0</v>
      </c>
      <c r="O132" s="8">
        <v>0</v>
      </c>
      <c r="P132" s="8">
        <v>0</v>
      </c>
      <c r="Q132" s="99">
        <f t="shared" si="21"/>
        <v>42.3</v>
      </c>
    </row>
    <row r="133" spans="1:17" ht="14.95" customHeight="1" x14ac:dyDescent="0.25">
      <c r="A133" s="7" t="s">
        <v>467</v>
      </c>
      <c r="B133" s="33" t="s">
        <v>468</v>
      </c>
      <c r="C133" s="8">
        <v>0</v>
      </c>
      <c r="D133" s="8"/>
      <c r="E133" s="8"/>
      <c r="F133" s="8"/>
      <c r="G133" s="8"/>
      <c r="H133" s="8"/>
      <c r="I133" s="8"/>
      <c r="J133" s="8"/>
      <c r="K133" s="8"/>
      <c r="L133" s="8"/>
      <c r="M133" s="8">
        <v>0</v>
      </c>
      <c r="N133" s="8">
        <f>1843.51</f>
        <v>1843.51</v>
      </c>
      <c r="O133" s="8">
        <v>0</v>
      </c>
      <c r="P133" s="8">
        <v>0</v>
      </c>
      <c r="Q133" s="99">
        <f t="shared" si="21"/>
        <v>1843.51</v>
      </c>
    </row>
    <row r="134" spans="1:17" ht="14.95" customHeight="1" x14ac:dyDescent="0.25">
      <c r="A134" s="7" t="s">
        <v>59</v>
      </c>
      <c r="B134" s="33" t="s">
        <v>228</v>
      </c>
      <c r="C134" s="8">
        <v>7539</v>
      </c>
      <c r="D134" s="8">
        <v>0</v>
      </c>
      <c r="E134" s="8">
        <v>206.1</v>
      </c>
      <c r="F134" s="8">
        <v>0</v>
      </c>
      <c r="G134" s="8">
        <f t="shared" si="24"/>
        <v>7745.1</v>
      </c>
      <c r="H134" s="8">
        <v>0</v>
      </c>
      <c r="I134" s="8">
        <v>0</v>
      </c>
      <c r="J134" s="8">
        <f t="shared" si="23"/>
        <v>7745.1</v>
      </c>
      <c r="K134" s="8">
        <f>43.9</f>
        <v>43.9</v>
      </c>
      <c r="L134" s="8">
        <v>0</v>
      </c>
      <c r="M134" s="8">
        <f t="shared" si="22"/>
        <v>7789</v>
      </c>
      <c r="N134" s="8">
        <v>0</v>
      </c>
      <c r="O134" s="8">
        <v>0</v>
      </c>
      <c r="P134" s="8">
        <v>0</v>
      </c>
      <c r="Q134" s="99">
        <f t="shared" ref="Q134:Q199" si="25">SUM(M134:P134)</f>
        <v>7789</v>
      </c>
    </row>
    <row r="135" spans="1:17" ht="14.95" customHeight="1" x14ac:dyDescent="0.25">
      <c r="A135" s="7" t="s">
        <v>316</v>
      </c>
      <c r="B135" s="33" t="s">
        <v>317</v>
      </c>
      <c r="C135" s="8">
        <v>0</v>
      </c>
      <c r="D135" s="8">
        <v>0</v>
      </c>
      <c r="E135" s="8">
        <v>0</v>
      </c>
      <c r="F135" s="8">
        <f>1060.09</f>
        <v>1060.0899999999999</v>
      </c>
      <c r="G135" s="8">
        <f>SUM(C135:F135)</f>
        <v>1060.0899999999999</v>
      </c>
      <c r="H135" s="8">
        <v>0</v>
      </c>
      <c r="I135" s="8">
        <v>0</v>
      </c>
      <c r="J135" s="8">
        <f t="shared" si="23"/>
        <v>1060.0899999999999</v>
      </c>
      <c r="K135" s="8">
        <v>0</v>
      </c>
      <c r="L135" s="8">
        <v>0</v>
      </c>
      <c r="M135" s="8">
        <f t="shared" si="22"/>
        <v>1060.0899999999999</v>
      </c>
      <c r="N135" s="8">
        <v>0</v>
      </c>
      <c r="O135" s="8">
        <v>0</v>
      </c>
      <c r="P135" s="8">
        <v>0</v>
      </c>
      <c r="Q135" s="99">
        <f t="shared" si="25"/>
        <v>1060.0899999999999</v>
      </c>
    </row>
    <row r="136" spans="1:17" ht="14.95" customHeight="1" x14ac:dyDescent="0.25">
      <c r="A136" s="7" t="s">
        <v>420</v>
      </c>
      <c r="B136" s="33" t="s">
        <v>419</v>
      </c>
      <c r="C136" s="8">
        <v>0</v>
      </c>
      <c r="D136" s="8"/>
      <c r="E136" s="8"/>
      <c r="F136" s="8"/>
      <c r="G136" s="8"/>
      <c r="H136" s="8"/>
      <c r="I136" s="8"/>
      <c r="J136" s="8">
        <v>0</v>
      </c>
      <c r="K136" s="8">
        <v>0</v>
      </c>
      <c r="L136" s="8">
        <f>80</f>
        <v>80</v>
      </c>
      <c r="M136" s="8">
        <f>SUM(J136:L136)</f>
        <v>80</v>
      </c>
      <c r="N136" s="8">
        <v>0</v>
      </c>
      <c r="O136" s="8">
        <v>0</v>
      </c>
      <c r="P136" s="8">
        <v>0</v>
      </c>
      <c r="Q136" s="99">
        <f t="shared" si="25"/>
        <v>80</v>
      </c>
    </row>
    <row r="137" spans="1:17" ht="14.95" customHeight="1" x14ac:dyDescent="0.25">
      <c r="A137" s="7" t="s">
        <v>461</v>
      </c>
      <c r="B137" s="33" t="s">
        <v>418</v>
      </c>
      <c r="C137" s="8">
        <v>0</v>
      </c>
      <c r="D137" s="8"/>
      <c r="E137" s="8"/>
      <c r="F137" s="8"/>
      <c r="G137" s="8"/>
      <c r="H137" s="8"/>
      <c r="I137" s="8"/>
      <c r="J137" s="8"/>
      <c r="K137" s="8"/>
      <c r="L137" s="8"/>
      <c r="M137" s="8">
        <v>0</v>
      </c>
      <c r="N137" s="8">
        <f>237.07</f>
        <v>237.07</v>
      </c>
      <c r="O137" s="8">
        <v>0</v>
      </c>
      <c r="P137" s="8">
        <v>0</v>
      </c>
      <c r="Q137" s="99">
        <f t="shared" si="25"/>
        <v>237.07</v>
      </c>
    </row>
    <row r="138" spans="1:17" ht="14.95" customHeight="1" x14ac:dyDescent="0.25">
      <c r="A138" s="7" t="s">
        <v>462</v>
      </c>
      <c r="B138" s="33" t="s">
        <v>418</v>
      </c>
      <c r="C138" s="8">
        <v>0</v>
      </c>
      <c r="D138" s="8"/>
      <c r="E138" s="8"/>
      <c r="F138" s="8"/>
      <c r="G138" s="8"/>
      <c r="H138" s="8"/>
      <c r="I138" s="8"/>
      <c r="J138" s="8"/>
      <c r="K138" s="8"/>
      <c r="L138" s="8"/>
      <c r="M138" s="8">
        <v>0</v>
      </c>
      <c r="N138" s="8">
        <f>26.35</f>
        <v>26.35</v>
      </c>
      <c r="O138" s="8">
        <v>0</v>
      </c>
      <c r="P138" s="8">
        <v>0</v>
      </c>
      <c r="Q138" s="99">
        <f t="shared" si="25"/>
        <v>26.35</v>
      </c>
    </row>
    <row r="139" spans="1:17" ht="14.95" customHeight="1" x14ac:dyDescent="0.25">
      <c r="A139" s="34" t="s">
        <v>60</v>
      </c>
      <c r="B139" s="33" t="s">
        <v>228</v>
      </c>
      <c r="C139" s="8">
        <v>2258</v>
      </c>
      <c r="D139" s="8">
        <v>0</v>
      </c>
      <c r="E139" s="8">
        <v>85.93</v>
      </c>
      <c r="F139" s="8">
        <v>0</v>
      </c>
      <c r="G139" s="8">
        <f t="shared" si="24"/>
        <v>2343.9299999999998</v>
      </c>
      <c r="H139" s="8">
        <v>0</v>
      </c>
      <c r="I139" s="8">
        <v>0</v>
      </c>
      <c r="J139" s="8">
        <f t="shared" si="23"/>
        <v>2343.9299999999998</v>
      </c>
      <c r="K139" s="8">
        <v>0</v>
      </c>
      <c r="L139" s="8">
        <v>0</v>
      </c>
      <c r="M139" s="8">
        <f t="shared" si="22"/>
        <v>2343.9299999999998</v>
      </c>
      <c r="N139" s="8">
        <v>0</v>
      </c>
      <c r="O139" s="8">
        <v>0</v>
      </c>
      <c r="P139" s="8">
        <v>0</v>
      </c>
      <c r="Q139" s="99">
        <f t="shared" si="25"/>
        <v>2343.9299999999998</v>
      </c>
    </row>
    <row r="140" spans="1:17" ht="14.95" customHeight="1" x14ac:dyDescent="0.25">
      <c r="A140" s="34" t="s">
        <v>348</v>
      </c>
      <c r="B140" s="33" t="s">
        <v>325</v>
      </c>
      <c r="C140" s="8">
        <v>0</v>
      </c>
      <c r="D140" s="8">
        <v>0</v>
      </c>
      <c r="E140" s="8">
        <v>0</v>
      </c>
      <c r="F140" s="8">
        <f>15.65</f>
        <v>15.65</v>
      </c>
      <c r="G140" s="8">
        <f>SUM(C140:F140)</f>
        <v>15.65</v>
      </c>
      <c r="H140" s="8">
        <v>0</v>
      </c>
      <c r="I140" s="8">
        <v>0</v>
      </c>
      <c r="J140" s="8">
        <f>SUM(G140:I140)-15.64</f>
        <v>9.9999999999997868E-3</v>
      </c>
      <c r="K140" s="8">
        <v>0</v>
      </c>
      <c r="L140" s="8">
        <v>0</v>
      </c>
      <c r="M140" s="8">
        <f t="shared" si="22"/>
        <v>9.9999999999997868E-3</v>
      </c>
      <c r="N140" s="8">
        <f>-0.01</f>
        <v>-0.01</v>
      </c>
      <c r="O140" s="8">
        <v>0</v>
      </c>
      <c r="P140" s="8">
        <v>0</v>
      </c>
      <c r="Q140" s="99">
        <f t="shared" si="25"/>
        <v>-2.1337098754514727E-16</v>
      </c>
    </row>
    <row r="141" spans="1:17" ht="14.95" customHeight="1" x14ac:dyDescent="0.25">
      <c r="A141" s="34" t="s">
        <v>348</v>
      </c>
      <c r="B141" s="33" t="s">
        <v>418</v>
      </c>
      <c r="C141" s="8">
        <v>0</v>
      </c>
      <c r="D141" s="8"/>
      <c r="E141" s="8"/>
      <c r="F141" s="8"/>
      <c r="G141" s="8"/>
      <c r="H141" s="8"/>
      <c r="I141" s="8"/>
      <c r="J141" s="8">
        <v>0</v>
      </c>
      <c r="K141" s="8">
        <v>0</v>
      </c>
      <c r="L141" s="8">
        <f>315.41</f>
        <v>315.41000000000003</v>
      </c>
      <c r="M141" s="8">
        <f>SUM(J141:L141)</f>
        <v>315.41000000000003</v>
      </c>
      <c r="N141" s="8">
        <v>0</v>
      </c>
      <c r="O141" s="8">
        <v>0</v>
      </c>
      <c r="P141" s="8">
        <v>0</v>
      </c>
      <c r="Q141" s="99">
        <f t="shared" si="25"/>
        <v>315.41000000000003</v>
      </c>
    </row>
    <row r="142" spans="1:17" ht="14.95" customHeight="1" x14ac:dyDescent="0.25">
      <c r="A142" s="34" t="s">
        <v>370</v>
      </c>
      <c r="B142" s="33" t="s">
        <v>325</v>
      </c>
      <c r="C142" s="8">
        <v>0</v>
      </c>
      <c r="D142" s="8">
        <v>0</v>
      </c>
      <c r="E142" s="8">
        <v>0</v>
      </c>
      <c r="F142" s="8">
        <f>1.74</f>
        <v>1.74</v>
      </c>
      <c r="G142" s="8">
        <f>SUM(C142:F142)</f>
        <v>1.74</v>
      </c>
      <c r="H142" s="8">
        <v>0</v>
      </c>
      <c r="I142" s="8">
        <v>0</v>
      </c>
      <c r="J142" s="8">
        <f>SUM(G142:I142)-1.73</f>
        <v>1.0000000000000009E-2</v>
      </c>
      <c r="K142" s="8">
        <v>0</v>
      </c>
      <c r="L142" s="8">
        <v>0</v>
      </c>
      <c r="M142" s="8">
        <f t="shared" si="22"/>
        <v>1.0000000000000009E-2</v>
      </c>
      <c r="N142" s="8">
        <f>-0.01</f>
        <v>-0.01</v>
      </c>
      <c r="O142" s="8">
        <v>0</v>
      </c>
      <c r="P142" s="8">
        <v>0</v>
      </c>
      <c r="Q142" s="99">
        <f t="shared" si="25"/>
        <v>8.6736173798840355E-18</v>
      </c>
    </row>
    <row r="143" spans="1:17" ht="14.95" customHeight="1" x14ac:dyDescent="0.25">
      <c r="A143" s="34" t="s">
        <v>370</v>
      </c>
      <c r="B143" s="33" t="s">
        <v>418</v>
      </c>
      <c r="C143" s="8">
        <v>0</v>
      </c>
      <c r="D143" s="8"/>
      <c r="E143" s="8"/>
      <c r="F143" s="8"/>
      <c r="G143" s="8"/>
      <c r="H143" s="8"/>
      <c r="I143" s="8"/>
      <c r="J143" s="8">
        <v>0</v>
      </c>
      <c r="K143" s="8">
        <v>0</v>
      </c>
      <c r="L143" s="8">
        <f>35.05</f>
        <v>35.049999999999997</v>
      </c>
      <c r="M143" s="8">
        <f>SUM(J143:L143)</f>
        <v>35.049999999999997</v>
      </c>
      <c r="N143" s="8">
        <v>0</v>
      </c>
      <c r="O143" s="8">
        <v>0</v>
      </c>
      <c r="P143" s="8">
        <v>0</v>
      </c>
      <c r="Q143" s="99">
        <f t="shared" si="25"/>
        <v>35.049999999999997</v>
      </c>
    </row>
    <row r="144" spans="1:17" ht="14.95" customHeight="1" x14ac:dyDescent="0.25">
      <c r="A144" s="34" t="s">
        <v>455</v>
      </c>
      <c r="B144" s="33" t="s">
        <v>403</v>
      </c>
      <c r="C144" s="8">
        <v>0</v>
      </c>
      <c r="D144" s="8"/>
      <c r="E144" s="8"/>
      <c r="F144" s="8"/>
      <c r="G144" s="8"/>
      <c r="H144" s="8"/>
      <c r="I144" s="8"/>
      <c r="J144" s="8">
        <v>0</v>
      </c>
      <c r="K144" s="8">
        <v>0</v>
      </c>
      <c r="L144" s="8">
        <f>500.49</f>
        <v>500.49</v>
      </c>
      <c r="M144" s="8">
        <f>SUM(J144:L144)</f>
        <v>500.49</v>
      </c>
      <c r="N144" s="8">
        <v>0</v>
      </c>
      <c r="O144" s="8">
        <v>0</v>
      </c>
      <c r="P144" s="8">
        <v>0</v>
      </c>
      <c r="Q144" s="99">
        <f t="shared" si="25"/>
        <v>500.49</v>
      </c>
    </row>
    <row r="145" spans="1:17" ht="14.95" customHeight="1" x14ac:dyDescent="0.25">
      <c r="A145" s="34" t="s">
        <v>61</v>
      </c>
      <c r="B145" s="33" t="s">
        <v>228</v>
      </c>
      <c r="C145" s="8">
        <v>5699</v>
      </c>
      <c r="D145" s="8">
        <v>0</v>
      </c>
      <c r="E145" s="8">
        <v>164.77</v>
      </c>
      <c r="F145" s="8">
        <v>0</v>
      </c>
      <c r="G145" s="8">
        <f t="shared" si="24"/>
        <v>5863.77</v>
      </c>
      <c r="H145" s="8">
        <v>0</v>
      </c>
      <c r="I145" s="8">
        <v>0</v>
      </c>
      <c r="J145" s="8">
        <f t="shared" si="23"/>
        <v>5863.77</v>
      </c>
      <c r="K145" s="8">
        <f>25.5</f>
        <v>25.5</v>
      </c>
      <c r="L145" s="8">
        <v>0</v>
      </c>
      <c r="M145" s="8">
        <f t="shared" si="22"/>
        <v>5889.27</v>
      </c>
      <c r="N145" s="8">
        <v>0</v>
      </c>
      <c r="O145" s="8">
        <v>0</v>
      </c>
      <c r="P145" s="8">
        <v>0</v>
      </c>
      <c r="Q145" s="99">
        <f t="shared" si="25"/>
        <v>5889.27</v>
      </c>
    </row>
    <row r="146" spans="1:17" ht="14.95" customHeight="1" x14ac:dyDescent="0.25">
      <c r="A146" s="34" t="s">
        <v>438</v>
      </c>
      <c r="B146" s="33" t="s">
        <v>304</v>
      </c>
      <c r="C146" s="8">
        <v>0</v>
      </c>
      <c r="D146" s="8">
        <v>0</v>
      </c>
      <c r="E146" s="8">
        <v>0</v>
      </c>
      <c r="F146" s="8">
        <f>1156.2</f>
        <v>1156.2</v>
      </c>
      <c r="G146" s="8">
        <f>SUM(C146:F146)</f>
        <v>1156.2</v>
      </c>
      <c r="H146" s="8">
        <v>0</v>
      </c>
      <c r="I146" s="8">
        <v>0</v>
      </c>
      <c r="J146" s="8">
        <f t="shared" si="23"/>
        <v>1156.2</v>
      </c>
      <c r="K146" s="8">
        <v>0</v>
      </c>
      <c r="L146" s="8">
        <v>0</v>
      </c>
      <c r="M146" s="8">
        <f t="shared" si="22"/>
        <v>1156.2</v>
      </c>
      <c r="N146" s="8">
        <v>0</v>
      </c>
      <c r="O146" s="8">
        <v>0</v>
      </c>
      <c r="P146" s="8">
        <v>0</v>
      </c>
      <c r="Q146" s="99">
        <f t="shared" si="25"/>
        <v>1156.2</v>
      </c>
    </row>
    <row r="147" spans="1:17" ht="14.95" customHeight="1" x14ac:dyDescent="0.25">
      <c r="A147" s="34" t="s">
        <v>439</v>
      </c>
      <c r="B147" s="33" t="s">
        <v>418</v>
      </c>
      <c r="C147" s="8">
        <v>0</v>
      </c>
      <c r="D147" s="8"/>
      <c r="E147" s="8"/>
      <c r="F147" s="8"/>
      <c r="G147" s="8"/>
      <c r="H147" s="8"/>
      <c r="I147" s="8"/>
      <c r="J147" s="8">
        <v>0</v>
      </c>
      <c r="K147" s="8">
        <v>0</v>
      </c>
      <c r="L147" s="8">
        <f>347.45</f>
        <v>347.45</v>
      </c>
      <c r="M147" s="8">
        <f>SUM(J147:L147)</f>
        <v>347.45</v>
      </c>
      <c r="N147" s="8">
        <v>0</v>
      </c>
      <c r="O147" s="8">
        <v>0</v>
      </c>
      <c r="P147" s="8">
        <v>0</v>
      </c>
      <c r="Q147" s="99">
        <f t="shared" si="25"/>
        <v>347.45</v>
      </c>
    </row>
    <row r="148" spans="1:17" ht="14.95" customHeight="1" x14ac:dyDescent="0.25">
      <c r="A148" s="34" t="s">
        <v>440</v>
      </c>
      <c r="B148" s="33" t="s">
        <v>418</v>
      </c>
      <c r="C148" s="8">
        <v>0</v>
      </c>
      <c r="D148" s="8"/>
      <c r="E148" s="8"/>
      <c r="F148" s="8"/>
      <c r="G148" s="8"/>
      <c r="H148" s="8"/>
      <c r="I148" s="8"/>
      <c r="J148" s="8">
        <v>0</v>
      </c>
      <c r="K148" s="8">
        <v>0</v>
      </c>
      <c r="L148" s="8">
        <f>38.61</f>
        <v>38.61</v>
      </c>
      <c r="M148" s="8">
        <f>SUM(J148:L148)</f>
        <v>38.61</v>
      </c>
      <c r="N148" s="8">
        <v>0</v>
      </c>
      <c r="O148" s="8">
        <v>0</v>
      </c>
      <c r="P148" s="8">
        <v>0</v>
      </c>
      <c r="Q148" s="99">
        <f t="shared" si="25"/>
        <v>38.61</v>
      </c>
    </row>
    <row r="149" spans="1:17" ht="14.95" customHeight="1" x14ac:dyDescent="0.25">
      <c r="A149" s="7" t="s">
        <v>62</v>
      </c>
      <c r="B149" s="33" t="s">
        <v>228</v>
      </c>
      <c r="C149" s="8">
        <v>11542</v>
      </c>
      <c r="D149" s="8">
        <v>0</v>
      </c>
      <c r="E149" s="8">
        <v>304.7</v>
      </c>
      <c r="F149" s="8">
        <v>0</v>
      </c>
      <c r="G149" s="8">
        <f t="shared" si="24"/>
        <v>11846.7</v>
      </c>
      <c r="H149" s="8">
        <v>0</v>
      </c>
      <c r="I149" s="8">
        <v>0</v>
      </c>
      <c r="J149" s="8">
        <f t="shared" si="23"/>
        <v>11846.7</v>
      </c>
      <c r="K149" s="8">
        <f>251.62</f>
        <v>251.62</v>
      </c>
      <c r="L149" s="8">
        <v>0</v>
      </c>
      <c r="M149" s="8">
        <f t="shared" si="22"/>
        <v>12098.320000000002</v>
      </c>
      <c r="N149" s="8">
        <v>0</v>
      </c>
      <c r="O149" s="8">
        <v>0</v>
      </c>
      <c r="P149" s="8">
        <v>0</v>
      </c>
      <c r="Q149" s="99">
        <f t="shared" si="25"/>
        <v>12098.320000000002</v>
      </c>
    </row>
    <row r="150" spans="1:17" ht="14.95" customHeight="1" x14ac:dyDescent="0.25">
      <c r="A150" s="7" t="s">
        <v>329</v>
      </c>
      <c r="B150" s="33" t="s">
        <v>325</v>
      </c>
      <c r="C150" s="8">
        <v>0</v>
      </c>
      <c r="D150" s="8">
        <v>0</v>
      </c>
      <c r="E150" s="8">
        <v>0</v>
      </c>
      <c r="F150" s="8">
        <f>15.65</f>
        <v>15.65</v>
      </c>
      <c r="G150" s="8">
        <f>SUM(C150:F150)</f>
        <v>15.65</v>
      </c>
      <c r="H150" s="8">
        <v>0</v>
      </c>
      <c r="I150" s="8">
        <v>0</v>
      </c>
      <c r="J150" s="8">
        <f>SUM(G150:I150)-15.64</f>
        <v>9.9999999999997868E-3</v>
      </c>
      <c r="K150" s="8">
        <v>0</v>
      </c>
      <c r="L150" s="8">
        <v>0</v>
      </c>
      <c r="M150" s="8">
        <f t="shared" si="22"/>
        <v>9.9999999999997868E-3</v>
      </c>
      <c r="N150" s="8">
        <f>-0.01</f>
        <v>-0.01</v>
      </c>
      <c r="O150" s="8">
        <v>0</v>
      </c>
      <c r="P150" s="8">
        <v>0</v>
      </c>
      <c r="Q150" s="99">
        <f t="shared" si="25"/>
        <v>-2.1337098754514727E-16</v>
      </c>
    </row>
    <row r="151" spans="1:17" ht="14.95" customHeight="1" x14ac:dyDescent="0.25">
      <c r="A151" s="7" t="s">
        <v>448</v>
      </c>
      <c r="B151" s="33" t="s">
        <v>418</v>
      </c>
      <c r="C151" s="8">
        <v>0</v>
      </c>
      <c r="D151" s="8"/>
      <c r="E151" s="8"/>
      <c r="F151" s="8"/>
      <c r="G151" s="8"/>
      <c r="H151" s="8"/>
      <c r="I151" s="8"/>
      <c r="J151" s="8"/>
      <c r="K151" s="8"/>
      <c r="L151" s="8"/>
      <c r="M151" s="8">
        <v>0</v>
      </c>
      <c r="N151" s="8">
        <f>568.41</f>
        <v>568.41</v>
      </c>
      <c r="O151" s="8">
        <v>0</v>
      </c>
      <c r="P151" s="8">
        <v>0</v>
      </c>
      <c r="Q151" s="99">
        <f t="shared" si="25"/>
        <v>568.41</v>
      </c>
    </row>
    <row r="152" spans="1:17" ht="14.95" customHeight="1" x14ac:dyDescent="0.25">
      <c r="A152" s="7" t="s">
        <v>330</v>
      </c>
      <c r="B152" s="33" t="s">
        <v>325</v>
      </c>
      <c r="C152" s="8">
        <v>0</v>
      </c>
      <c r="D152" s="8">
        <v>0</v>
      </c>
      <c r="E152" s="8">
        <v>0</v>
      </c>
      <c r="F152" s="8">
        <f>1.74</f>
        <v>1.74</v>
      </c>
      <c r="G152" s="8">
        <f>SUM(C152:F152)</f>
        <v>1.74</v>
      </c>
      <c r="H152" s="8">
        <v>0</v>
      </c>
      <c r="I152" s="8">
        <v>0</v>
      </c>
      <c r="J152" s="8">
        <f>SUM(G152:I152)-1.73</f>
        <v>1.0000000000000009E-2</v>
      </c>
      <c r="K152" s="8">
        <v>0</v>
      </c>
      <c r="L152" s="8">
        <v>0</v>
      </c>
      <c r="M152" s="8">
        <f t="shared" si="22"/>
        <v>1.0000000000000009E-2</v>
      </c>
      <c r="N152" s="8">
        <f>-0.01</f>
        <v>-0.01</v>
      </c>
      <c r="O152" s="8">
        <v>0</v>
      </c>
      <c r="P152" s="8">
        <v>0</v>
      </c>
      <c r="Q152" s="99">
        <f t="shared" si="25"/>
        <v>8.6736173798840355E-18</v>
      </c>
    </row>
    <row r="153" spans="1:17" ht="14.95" customHeight="1" x14ac:dyDescent="0.25">
      <c r="A153" s="7" t="s">
        <v>330</v>
      </c>
      <c r="B153" s="33" t="s">
        <v>418</v>
      </c>
      <c r="C153" s="8">
        <v>0</v>
      </c>
      <c r="D153" s="8"/>
      <c r="E153" s="8"/>
      <c r="F153" s="8"/>
      <c r="G153" s="8"/>
      <c r="H153" s="8"/>
      <c r="I153" s="8"/>
      <c r="J153" s="8"/>
      <c r="K153" s="8"/>
      <c r="L153" s="8"/>
      <c r="M153" s="8">
        <v>0</v>
      </c>
      <c r="N153" s="8">
        <f>63.16</f>
        <v>63.16</v>
      </c>
      <c r="O153" s="8">
        <v>0</v>
      </c>
      <c r="P153" s="8">
        <v>0</v>
      </c>
      <c r="Q153" s="99">
        <f t="shared" si="25"/>
        <v>63.16</v>
      </c>
    </row>
    <row r="154" spans="1:17" ht="14.95" customHeight="1" x14ac:dyDescent="0.25">
      <c r="A154" s="7" t="s">
        <v>342</v>
      </c>
      <c r="B154" s="33" t="s">
        <v>343</v>
      </c>
      <c r="C154" s="8">
        <v>0</v>
      </c>
      <c r="D154" s="8">
        <v>0</v>
      </c>
      <c r="E154" s="8">
        <v>0</v>
      </c>
      <c r="F154" s="8">
        <f>1583.91</f>
        <v>1583.91</v>
      </c>
      <c r="G154" s="8">
        <f>SUM(C154:F154)</f>
        <v>1583.91</v>
      </c>
      <c r="H154" s="8">
        <v>0</v>
      </c>
      <c r="I154" s="8">
        <v>0</v>
      </c>
      <c r="J154" s="8">
        <f t="shared" si="23"/>
        <v>1583.91</v>
      </c>
      <c r="K154" s="8">
        <v>0</v>
      </c>
      <c r="L154" s="8">
        <v>0</v>
      </c>
      <c r="M154" s="8">
        <f t="shared" si="22"/>
        <v>1583.91</v>
      </c>
      <c r="N154" s="8">
        <v>0</v>
      </c>
      <c r="O154" s="8">
        <v>0</v>
      </c>
      <c r="P154" s="8">
        <v>0</v>
      </c>
      <c r="Q154" s="99">
        <f t="shared" si="25"/>
        <v>1583.91</v>
      </c>
    </row>
    <row r="155" spans="1:17" ht="14.95" customHeight="1" x14ac:dyDescent="0.25">
      <c r="A155" s="7" t="s">
        <v>352</v>
      </c>
      <c r="B155" s="33" t="s">
        <v>228</v>
      </c>
      <c r="C155" s="8">
        <v>0</v>
      </c>
      <c r="D155" s="8">
        <v>0</v>
      </c>
      <c r="E155" s="8">
        <v>0</v>
      </c>
      <c r="F155" s="8">
        <f>3171.38</f>
        <v>3171.38</v>
      </c>
      <c r="G155" s="8">
        <f>SUM(C155:F155)</f>
        <v>3171.38</v>
      </c>
      <c r="H155" s="8">
        <v>0</v>
      </c>
      <c r="I155" s="8">
        <v>0</v>
      </c>
      <c r="J155" s="8">
        <f t="shared" si="23"/>
        <v>3171.38</v>
      </c>
      <c r="K155" s="8">
        <v>0</v>
      </c>
      <c r="L155" s="8">
        <v>0</v>
      </c>
      <c r="M155" s="8">
        <f t="shared" si="22"/>
        <v>3171.38</v>
      </c>
      <c r="N155" s="8">
        <v>0</v>
      </c>
      <c r="O155" s="8">
        <v>0</v>
      </c>
      <c r="P155" s="8">
        <v>0</v>
      </c>
      <c r="Q155" s="99">
        <f t="shared" si="25"/>
        <v>3171.38</v>
      </c>
    </row>
    <row r="156" spans="1:17" ht="37.4" customHeight="1" x14ac:dyDescent="0.25">
      <c r="A156" s="7" t="s">
        <v>451</v>
      </c>
      <c r="B156" s="33" t="s">
        <v>228</v>
      </c>
      <c r="C156" s="8">
        <v>0</v>
      </c>
      <c r="D156" s="8"/>
      <c r="E156" s="8"/>
      <c r="F156" s="8"/>
      <c r="G156" s="8"/>
      <c r="H156" s="8"/>
      <c r="I156" s="8"/>
      <c r="J156" s="8"/>
      <c r="K156" s="8"/>
      <c r="L156" s="8"/>
      <c r="M156" s="8">
        <v>0</v>
      </c>
      <c r="N156" s="8">
        <v>0</v>
      </c>
      <c r="O156" s="8">
        <f>43.46</f>
        <v>43.46</v>
      </c>
      <c r="P156" s="8">
        <v>0</v>
      </c>
      <c r="Q156" s="99">
        <f t="shared" si="25"/>
        <v>43.46</v>
      </c>
    </row>
    <row r="157" spans="1:17" ht="14.95" customHeight="1" x14ac:dyDescent="0.25">
      <c r="A157" s="34" t="s">
        <v>63</v>
      </c>
      <c r="B157" s="33" t="s">
        <v>228</v>
      </c>
      <c r="C157" s="8">
        <v>9249</v>
      </c>
      <c r="D157" s="8">
        <v>0</v>
      </c>
      <c r="E157" s="8">
        <v>231.77</v>
      </c>
      <c r="F157" s="8">
        <v>0</v>
      </c>
      <c r="G157" s="8">
        <f t="shared" si="24"/>
        <v>9480.77</v>
      </c>
      <c r="H157" s="8">
        <v>0</v>
      </c>
      <c r="I157" s="8">
        <v>0</v>
      </c>
      <c r="J157" s="8">
        <f t="shared" si="23"/>
        <v>9480.77</v>
      </c>
      <c r="K157" s="8">
        <f>30.05</f>
        <v>30.05</v>
      </c>
      <c r="L157" s="8">
        <v>0</v>
      </c>
      <c r="M157" s="8">
        <f t="shared" si="22"/>
        <v>9510.82</v>
      </c>
      <c r="N157" s="8">
        <v>0</v>
      </c>
      <c r="O157" s="8">
        <v>0</v>
      </c>
      <c r="P157" s="8">
        <v>0</v>
      </c>
      <c r="Q157" s="99">
        <f t="shared" si="25"/>
        <v>9510.82</v>
      </c>
    </row>
    <row r="158" spans="1:17" ht="24.45" customHeight="1" x14ac:dyDescent="0.25">
      <c r="A158" s="7" t="s">
        <v>396</v>
      </c>
      <c r="B158" s="33" t="s">
        <v>228</v>
      </c>
      <c r="C158" s="8">
        <v>0</v>
      </c>
      <c r="D158" s="8"/>
      <c r="E158" s="8"/>
      <c r="F158" s="8"/>
      <c r="G158" s="8"/>
      <c r="H158" s="8"/>
      <c r="I158" s="8"/>
      <c r="J158" s="8">
        <v>0</v>
      </c>
      <c r="K158" s="8">
        <f>1500</f>
        <v>1500</v>
      </c>
      <c r="L158" s="8">
        <v>0</v>
      </c>
      <c r="M158" s="8">
        <f t="shared" si="22"/>
        <v>1500</v>
      </c>
      <c r="N158" s="8">
        <v>0</v>
      </c>
      <c r="O158" s="8">
        <v>0</v>
      </c>
      <c r="P158" s="8">
        <v>0</v>
      </c>
      <c r="Q158" s="99">
        <f t="shared" si="25"/>
        <v>1500</v>
      </c>
    </row>
    <row r="159" spans="1:17" ht="24.45" customHeight="1" x14ac:dyDescent="0.25">
      <c r="A159" s="7" t="s">
        <v>397</v>
      </c>
      <c r="B159" s="33" t="s">
        <v>228</v>
      </c>
      <c r="C159" s="8">
        <v>0</v>
      </c>
      <c r="D159" s="8"/>
      <c r="E159" s="8"/>
      <c r="F159" s="8"/>
      <c r="G159" s="8"/>
      <c r="H159" s="8"/>
      <c r="I159" s="8"/>
      <c r="J159" s="8">
        <v>0</v>
      </c>
      <c r="K159" s="8">
        <f>143.56</f>
        <v>143.56</v>
      </c>
      <c r="L159" s="8">
        <v>0</v>
      </c>
      <c r="M159" s="8">
        <f t="shared" si="22"/>
        <v>143.56</v>
      </c>
      <c r="N159" s="8">
        <v>0</v>
      </c>
      <c r="O159" s="8">
        <v>0</v>
      </c>
      <c r="P159" s="8">
        <v>0</v>
      </c>
      <c r="Q159" s="99">
        <f t="shared" si="25"/>
        <v>143.56</v>
      </c>
    </row>
    <row r="160" spans="1:17" ht="14.95" customHeight="1" x14ac:dyDescent="0.25">
      <c r="A160" s="34" t="s">
        <v>307</v>
      </c>
      <c r="B160" s="33" t="s">
        <v>228</v>
      </c>
      <c r="C160" s="8">
        <v>0</v>
      </c>
      <c r="D160" s="8">
        <f>1421.59</f>
        <v>1421.59</v>
      </c>
      <c r="E160" s="8">
        <v>0</v>
      </c>
      <c r="F160" s="8">
        <v>0</v>
      </c>
      <c r="G160" s="8">
        <f t="shared" si="24"/>
        <v>1421.59</v>
      </c>
      <c r="H160" s="8">
        <v>0</v>
      </c>
      <c r="I160" s="8">
        <v>0</v>
      </c>
      <c r="J160" s="8">
        <f t="shared" si="23"/>
        <v>1421.59</v>
      </c>
      <c r="K160" s="8">
        <v>0</v>
      </c>
      <c r="L160" s="8">
        <v>0</v>
      </c>
      <c r="M160" s="8">
        <f t="shared" si="22"/>
        <v>1421.59</v>
      </c>
      <c r="N160" s="8">
        <v>0</v>
      </c>
      <c r="O160" s="8">
        <v>0</v>
      </c>
      <c r="P160" s="8">
        <v>0</v>
      </c>
      <c r="Q160" s="99">
        <f t="shared" si="25"/>
        <v>1421.59</v>
      </c>
    </row>
    <row r="161" spans="1:17" ht="14.95" customHeight="1" x14ac:dyDescent="0.25">
      <c r="A161" s="34" t="s">
        <v>308</v>
      </c>
      <c r="B161" s="33" t="s">
        <v>228</v>
      </c>
      <c r="C161" s="8">
        <v>0</v>
      </c>
      <c r="D161" s="8">
        <f>83.63</f>
        <v>83.63</v>
      </c>
      <c r="E161" s="8">
        <v>0</v>
      </c>
      <c r="F161" s="8">
        <v>0</v>
      </c>
      <c r="G161" s="8">
        <f t="shared" si="24"/>
        <v>83.63</v>
      </c>
      <c r="H161" s="8">
        <v>0</v>
      </c>
      <c r="I161" s="8">
        <v>0</v>
      </c>
      <c r="J161" s="8">
        <f t="shared" si="23"/>
        <v>83.63</v>
      </c>
      <c r="K161" s="8">
        <v>0</v>
      </c>
      <c r="L161" s="8">
        <v>0</v>
      </c>
      <c r="M161" s="8">
        <f t="shared" si="22"/>
        <v>83.63</v>
      </c>
      <c r="N161" s="8">
        <v>0</v>
      </c>
      <c r="O161" s="8">
        <v>0</v>
      </c>
      <c r="P161" s="8">
        <v>0</v>
      </c>
      <c r="Q161" s="99">
        <f t="shared" si="25"/>
        <v>83.63</v>
      </c>
    </row>
    <row r="162" spans="1:17" ht="14.95" customHeight="1" x14ac:dyDescent="0.25">
      <c r="A162" s="34" t="s">
        <v>320</v>
      </c>
      <c r="B162" s="33" t="s">
        <v>304</v>
      </c>
      <c r="C162" s="8">
        <v>0</v>
      </c>
      <c r="D162" s="8">
        <v>0</v>
      </c>
      <c r="E162" s="8">
        <v>0</v>
      </c>
      <c r="F162" s="8">
        <f>1352.09</f>
        <v>1352.09</v>
      </c>
      <c r="G162" s="8">
        <f>SUM(C162:F162)</f>
        <v>1352.09</v>
      </c>
      <c r="H162" s="8">
        <v>0</v>
      </c>
      <c r="I162" s="8">
        <v>0</v>
      </c>
      <c r="J162" s="8">
        <f t="shared" si="23"/>
        <v>1352.09</v>
      </c>
      <c r="K162" s="8">
        <v>0</v>
      </c>
      <c r="L162" s="8">
        <v>0</v>
      </c>
      <c r="M162" s="8">
        <f t="shared" si="22"/>
        <v>1352.09</v>
      </c>
      <c r="N162" s="8">
        <v>0</v>
      </c>
      <c r="O162" s="8">
        <v>0</v>
      </c>
      <c r="P162" s="8">
        <v>0</v>
      </c>
      <c r="Q162" s="99">
        <f t="shared" si="25"/>
        <v>1352.09</v>
      </c>
    </row>
    <row r="163" spans="1:17" ht="14.95" customHeight="1" x14ac:dyDescent="0.25">
      <c r="A163" s="34" t="s">
        <v>441</v>
      </c>
      <c r="B163" s="33" t="s">
        <v>418</v>
      </c>
      <c r="C163" s="8">
        <v>0</v>
      </c>
      <c r="D163" s="8"/>
      <c r="E163" s="8"/>
      <c r="F163" s="8"/>
      <c r="G163" s="8"/>
      <c r="H163" s="8"/>
      <c r="I163" s="8"/>
      <c r="J163" s="8">
        <v>0</v>
      </c>
      <c r="K163" s="8">
        <v>0</v>
      </c>
      <c r="L163" s="8">
        <f>324.63</f>
        <v>324.63</v>
      </c>
      <c r="M163" s="8">
        <f t="shared" ref="M163:M168" si="26">SUM(J163:L163)</f>
        <v>324.63</v>
      </c>
      <c r="N163" s="8">
        <v>0</v>
      </c>
      <c r="O163" s="8">
        <v>0</v>
      </c>
      <c r="P163" s="8">
        <v>0</v>
      </c>
      <c r="Q163" s="99">
        <f t="shared" si="25"/>
        <v>324.63</v>
      </c>
    </row>
    <row r="164" spans="1:17" ht="14.95" customHeight="1" x14ac:dyDescent="0.25">
      <c r="A164" s="34" t="s">
        <v>442</v>
      </c>
      <c r="B164" s="33" t="s">
        <v>418</v>
      </c>
      <c r="C164" s="8">
        <v>0</v>
      </c>
      <c r="D164" s="8"/>
      <c r="E164" s="8"/>
      <c r="F164" s="8"/>
      <c r="G164" s="8"/>
      <c r="H164" s="8"/>
      <c r="I164" s="8"/>
      <c r="J164" s="8">
        <v>0</v>
      </c>
      <c r="K164" s="8">
        <v>0</v>
      </c>
      <c r="L164" s="8">
        <f>36.07</f>
        <v>36.07</v>
      </c>
      <c r="M164" s="8">
        <f t="shared" si="26"/>
        <v>36.07</v>
      </c>
      <c r="N164" s="8">
        <v>0</v>
      </c>
      <c r="O164" s="8">
        <v>0</v>
      </c>
      <c r="P164" s="8">
        <v>0</v>
      </c>
      <c r="Q164" s="99">
        <f t="shared" si="25"/>
        <v>36.07</v>
      </c>
    </row>
    <row r="165" spans="1:17" ht="14.95" customHeight="1" x14ac:dyDescent="0.25">
      <c r="A165" s="34" t="s">
        <v>64</v>
      </c>
      <c r="B165" s="33" t="s">
        <v>228</v>
      </c>
      <c r="C165" s="8">
        <v>9373</v>
      </c>
      <c r="D165" s="8">
        <v>0</v>
      </c>
      <c r="E165" s="8">
        <v>238.62</v>
      </c>
      <c r="F165" s="8">
        <v>0</v>
      </c>
      <c r="G165" s="8">
        <f t="shared" si="24"/>
        <v>9611.6200000000008</v>
      </c>
      <c r="H165" s="8">
        <v>0</v>
      </c>
      <c r="I165" s="8">
        <v>0</v>
      </c>
      <c r="J165" s="8">
        <f t="shared" si="23"/>
        <v>9611.6200000000008</v>
      </c>
      <c r="K165" s="8">
        <f>3.22</f>
        <v>3.22</v>
      </c>
      <c r="L165" s="8">
        <v>0</v>
      </c>
      <c r="M165" s="8">
        <f t="shared" si="26"/>
        <v>9614.84</v>
      </c>
      <c r="N165" s="8">
        <v>0</v>
      </c>
      <c r="O165" s="8">
        <f>3.33</f>
        <v>3.33</v>
      </c>
      <c r="P165" s="8">
        <v>0</v>
      </c>
      <c r="Q165" s="99">
        <f t="shared" si="25"/>
        <v>9618.17</v>
      </c>
    </row>
    <row r="166" spans="1:17" ht="14.95" customHeight="1" x14ac:dyDescent="0.25">
      <c r="A166" s="34" t="s">
        <v>417</v>
      </c>
      <c r="B166" s="33" t="s">
        <v>418</v>
      </c>
      <c r="C166" s="8">
        <v>0</v>
      </c>
      <c r="D166" s="8"/>
      <c r="E166" s="8"/>
      <c r="F166" s="8"/>
      <c r="G166" s="8"/>
      <c r="H166" s="8"/>
      <c r="I166" s="8"/>
      <c r="J166" s="8">
        <v>0</v>
      </c>
      <c r="K166" s="8">
        <v>0</v>
      </c>
      <c r="L166" s="8">
        <f>81.8</f>
        <v>81.8</v>
      </c>
      <c r="M166" s="8">
        <f t="shared" si="26"/>
        <v>81.8</v>
      </c>
      <c r="N166" s="8">
        <v>0</v>
      </c>
      <c r="O166" s="8">
        <v>0</v>
      </c>
      <c r="P166" s="8">
        <v>0</v>
      </c>
      <c r="Q166" s="99">
        <f t="shared" si="25"/>
        <v>81.8</v>
      </c>
    </row>
    <row r="167" spans="1:17" ht="14.95" customHeight="1" x14ac:dyDescent="0.25">
      <c r="A167" s="34" t="s">
        <v>432</v>
      </c>
      <c r="B167" s="33" t="s">
        <v>418</v>
      </c>
      <c r="C167" s="8">
        <v>0</v>
      </c>
      <c r="D167" s="8"/>
      <c r="E167" s="8"/>
      <c r="F167" s="8"/>
      <c r="G167" s="8"/>
      <c r="H167" s="8"/>
      <c r="I167" s="8"/>
      <c r="J167" s="8">
        <v>0</v>
      </c>
      <c r="K167" s="8">
        <v>0</v>
      </c>
      <c r="L167" s="8">
        <f>295.76</f>
        <v>295.76</v>
      </c>
      <c r="M167" s="8">
        <f t="shared" si="26"/>
        <v>295.76</v>
      </c>
      <c r="N167" s="8">
        <v>0</v>
      </c>
      <c r="O167" s="8">
        <v>0</v>
      </c>
      <c r="P167" s="8">
        <v>0</v>
      </c>
      <c r="Q167" s="99">
        <f t="shared" si="25"/>
        <v>295.76</v>
      </c>
    </row>
    <row r="168" spans="1:17" ht="14.95" customHeight="1" x14ac:dyDescent="0.25">
      <c r="A168" s="34" t="s">
        <v>433</v>
      </c>
      <c r="B168" s="33" t="s">
        <v>418</v>
      </c>
      <c r="C168" s="8">
        <v>0</v>
      </c>
      <c r="D168" s="8"/>
      <c r="E168" s="8"/>
      <c r="F168" s="8"/>
      <c r="G168" s="8"/>
      <c r="H168" s="8"/>
      <c r="I168" s="8"/>
      <c r="J168" s="8">
        <v>0</v>
      </c>
      <c r="K168" s="8">
        <v>0</v>
      </c>
      <c r="L168" s="8">
        <f>32.87</f>
        <v>32.869999999999997</v>
      </c>
      <c r="M168" s="8">
        <f t="shared" si="26"/>
        <v>32.869999999999997</v>
      </c>
      <c r="N168" s="8">
        <v>0</v>
      </c>
      <c r="O168" s="8">
        <v>0</v>
      </c>
      <c r="P168" s="8">
        <v>0</v>
      </c>
      <c r="Q168" s="99">
        <f t="shared" si="25"/>
        <v>32.869999999999997</v>
      </c>
    </row>
    <row r="169" spans="1:17" ht="14.95" customHeight="1" x14ac:dyDescent="0.25">
      <c r="A169" s="34" t="s">
        <v>469</v>
      </c>
      <c r="B169" s="33" t="s">
        <v>470</v>
      </c>
      <c r="C169" s="8">
        <v>0</v>
      </c>
      <c r="D169" s="8"/>
      <c r="E169" s="8"/>
      <c r="F169" s="8"/>
      <c r="G169" s="8"/>
      <c r="H169" s="8"/>
      <c r="I169" s="8"/>
      <c r="J169" s="8"/>
      <c r="K169" s="8"/>
      <c r="L169" s="8"/>
      <c r="M169" s="8">
        <v>0</v>
      </c>
      <c r="N169" s="8">
        <f>1301.03</f>
        <v>1301.03</v>
      </c>
      <c r="O169" s="8">
        <v>0</v>
      </c>
      <c r="P169" s="8">
        <v>0</v>
      </c>
      <c r="Q169" s="99">
        <f t="shared" si="25"/>
        <v>1301.03</v>
      </c>
    </row>
    <row r="170" spans="1:17" ht="14.95" customHeight="1" x14ac:dyDescent="0.25">
      <c r="A170" s="34" t="s">
        <v>65</v>
      </c>
      <c r="B170" s="33" t="s">
        <v>228</v>
      </c>
      <c r="C170" s="8">
        <v>7684</v>
      </c>
      <c r="D170" s="8">
        <v>0</v>
      </c>
      <c r="E170" s="8">
        <v>289.77</v>
      </c>
      <c r="F170" s="8">
        <v>0</v>
      </c>
      <c r="G170" s="8">
        <f t="shared" si="24"/>
        <v>7973.77</v>
      </c>
      <c r="H170" s="8">
        <v>27</v>
      </c>
      <c r="I170" s="8">
        <v>0</v>
      </c>
      <c r="J170" s="8">
        <f t="shared" si="23"/>
        <v>8000.77</v>
      </c>
      <c r="K170" s="8">
        <f>86.48</f>
        <v>86.48</v>
      </c>
      <c r="L170" s="8">
        <v>0</v>
      </c>
      <c r="M170" s="8">
        <f t="shared" si="22"/>
        <v>8087.25</v>
      </c>
      <c r="N170" s="8">
        <v>0</v>
      </c>
      <c r="O170" s="8">
        <v>0</v>
      </c>
      <c r="P170" s="8">
        <v>0</v>
      </c>
      <c r="Q170" s="99">
        <f t="shared" si="25"/>
        <v>8087.25</v>
      </c>
    </row>
    <row r="171" spans="1:17" ht="14.95" customHeight="1" x14ac:dyDescent="0.25">
      <c r="A171" s="34" t="s">
        <v>344</v>
      </c>
      <c r="B171" s="33" t="s">
        <v>304</v>
      </c>
      <c r="C171" s="8">
        <v>0</v>
      </c>
      <c r="D171" s="8">
        <v>0</v>
      </c>
      <c r="E171" s="8">
        <v>0</v>
      </c>
      <c r="F171" s="8">
        <f>1306.67</f>
        <v>1306.67</v>
      </c>
      <c r="G171" s="8">
        <f>SUM(C171:F171)</f>
        <v>1306.67</v>
      </c>
      <c r="H171" s="8">
        <v>0</v>
      </c>
      <c r="I171" s="8">
        <v>0</v>
      </c>
      <c r="J171" s="8">
        <f t="shared" si="23"/>
        <v>1306.67</v>
      </c>
      <c r="K171" s="8">
        <v>0</v>
      </c>
      <c r="L171" s="8">
        <v>0</v>
      </c>
      <c r="M171" s="8">
        <f t="shared" si="22"/>
        <v>1306.67</v>
      </c>
      <c r="N171" s="8">
        <v>0</v>
      </c>
      <c r="O171" s="8">
        <v>0</v>
      </c>
      <c r="P171" s="8">
        <v>0</v>
      </c>
      <c r="Q171" s="99">
        <f t="shared" si="25"/>
        <v>1306.67</v>
      </c>
    </row>
    <row r="172" spans="1:17" ht="14.95" customHeight="1" x14ac:dyDescent="0.25">
      <c r="A172" s="34" t="s">
        <v>434</v>
      </c>
      <c r="B172" s="33" t="s">
        <v>418</v>
      </c>
      <c r="C172" s="8">
        <v>0</v>
      </c>
      <c r="D172" s="8"/>
      <c r="E172" s="8"/>
      <c r="F172" s="8"/>
      <c r="G172" s="8"/>
      <c r="H172" s="8"/>
      <c r="I172" s="8"/>
      <c r="J172" s="8">
        <v>0</v>
      </c>
      <c r="K172" s="8">
        <v>0</v>
      </c>
      <c r="L172" s="8">
        <f>392.17</f>
        <v>392.17</v>
      </c>
      <c r="M172" s="8">
        <f>SUM(J172:L172)</f>
        <v>392.17</v>
      </c>
      <c r="N172" s="8">
        <v>0</v>
      </c>
      <c r="O172" s="8">
        <v>0</v>
      </c>
      <c r="P172" s="8">
        <v>0</v>
      </c>
      <c r="Q172" s="99">
        <f t="shared" si="25"/>
        <v>392.17</v>
      </c>
    </row>
    <row r="173" spans="1:17" ht="14.95" customHeight="1" x14ac:dyDescent="0.25">
      <c r="A173" s="34" t="s">
        <v>435</v>
      </c>
      <c r="B173" s="33" t="s">
        <v>418</v>
      </c>
      <c r="C173" s="8">
        <v>0</v>
      </c>
      <c r="D173" s="8"/>
      <c r="E173" s="8"/>
      <c r="F173" s="8"/>
      <c r="G173" s="8"/>
      <c r="H173" s="8"/>
      <c r="I173" s="8"/>
      <c r="J173" s="8">
        <v>0</v>
      </c>
      <c r="K173" s="8">
        <v>0</v>
      </c>
      <c r="L173" s="8">
        <f>43.58</f>
        <v>43.58</v>
      </c>
      <c r="M173" s="8">
        <f>SUM(J173:L173)</f>
        <v>43.58</v>
      </c>
      <c r="N173" s="8">
        <v>0</v>
      </c>
      <c r="O173" s="8">
        <v>0</v>
      </c>
      <c r="P173" s="8">
        <v>0</v>
      </c>
      <c r="Q173" s="99">
        <f t="shared" si="25"/>
        <v>43.58</v>
      </c>
    </row>
    <row r="174" spans="1:17" ht="14.95" customHeight="1" x14ac:dyDescent="0.25">
      <c r="A174" s="34" t="s">
        <v>66</v>
      </c>
      <c r="B174" s="33" t="s">
        <v>228</v>
      </c>
      <c r="C174" s="8">
        <v>3669</v>
      </c>
      <c r="D174" s="8">
        <v>0</v>
      </c>
      <c r="E174" s="8">
        <v>264.79000000000002</v>
      </c>
      <c r="F174" s="8">
        <v>0</v>
      </c>
      <c r="G174" s="8">
        <f t="shared" si="24"/>
        <v>3933.79</v>
      </c>
      <c r="H174" s="8">
        <v>0</v>
      </c>
      <c r="I174" s="8">
        <v>0</v>
      </c>
      <c r="J174" s="8">
        <f t="shared" si="23"/>
        <v>3933.79</v>
      </c>
      <c r="K174" s="8">
        <f>10.06</f>
        <v>10.06</v>
      </c>
      <c r="L174" s="8">
        <v>0</v>
      </c>
      <c r="M174" s="8">
        <f t="shared" si="22"/>
        <v>3943.85</v>
      </c>
      <c r="N174" s="8">
        <v>0</v>
      </c>
      <c r="O174" s="8">
        <v>0</v>
      </c>
      <c r="P174" s="8">
        <v>0</v>
      </c>
      <c r="Q174" s="99">
        <f t="shared" si="25"/>
        <v>3943.85</v>
      </c>
    </row>
    <row r="175" spans="1:17" ht="14.95" customHeight="1" x14ac:dyDescent="0.25">
      <c r="A175" s="34" t="s">
        <v>414</v>
      </c>
      <c r="B175" s="33" t="s">
        <v>447</v>
      </c>
      <c r="C175" s="8">
        <v>0</v>
      </c>
      <c r="D175" s="8"/>
      <c r="E175" s="8"/>
      <c r="F175" s="8"/>
      <c r="G175" s="8"/>
      <c r="H175" s="8"/>
      <c r="I175" s="8"/>
      <c r="J175" s="8">
        <f>774.6</f>
        <v>774.6</v>
      </c>
      <c r="K175" s="8">
        <v>0</v>
      </c>
      <c r="L175" s="8">
        <f>-45.33</f>
        <v>-45.33</v>
      </c>
      <c r="M175" s="8">
        <f>SUM(J175:L175)</f>
        <v>729.27</v>
      </c>
      <c r="N175" s="8">
        <f>0.01</f>
        <v>0.01</v>
      </c>
      <c r="O175" s="8">
        <v>0</v>
      </c>
      <c r="P175" s="8">
        <v>0</v>
      </c>
      <c r="Q175" s="99">
        <f t="shared" si="25"/>
        <v>729.28</v>
      </c>
    </row>
    <row r="176" spans="1:17" ht="14.95" customHeight="1" x14ac:dyDescent="0.25">
      <c r="A176" s="34" t="s">
        <v>430</v>
      </c>
      <c r="B176" s="33" t="s">
        <v>418</v>
      </c>
      <c r="C176" s="8">
        <v>0</v>
      </c>
      <c r="D176" s="8"/>
      <c r="E176" s="8"/>
      <c r="F176" s="8"/>
      <c r="G176" s="8"/>
      <c r="H176" s="8"/>
      <c r="I176" s="8"/>
      <c r="J176" s="8">
        <v>0</v>
      </c>
      <c r="K176" s="8">
        <v>0</v>
      </c>
      <c r="L176" s="8">
        <f>135.35</f>
        <v>135.35</v>
      </c>
      <c r="M176" s="8">
        <f>SUM(J176:L176)</f>
        <v>135.35</v>
      </c>
      <c r="N176" s="8">
        <v>0</v>
      </c>
      <c r="O176" s="8">
        <v>0</v>
      </c>
      <c r="P176" s="8">
        <v>0</v>
      </c>
      <c r="Q176" s="99">
        <f t="shared" si="25"/>
        <v>135.35</v>
      </c>
    </row>
    <row r="177" spans="1:17" ht="14.95" customHeight="1" x14ac:dyDescent="0.25">
      <c r="A177" s="34" t="s">
        <v>431</v>
      </c>
      <c r="B177" s="33" t="s">
        <v>418</v>
      </c>
      <c r="C177" s="8">
        <v>0</v>
      </c>
      <c r="D177" s="8"/>
      <c r="E177" s="8"/>
      <c r="F177" s="8"/>
      <c r="G177" s="8"/>
      <c r="H177" s="8"/>
      <c r="I177" s="8"/>
      <c r="J177" s="8">
        <v>0</v>
      </c>
      <c r="K177" s="8">
        <v>0</v>
      </c>
      <c r="L177" s="8">
        <f>15.04</f>
        <v>15.04</v>
      </c>
      <c r="M177" s="8">
        <f>SUM(J177:L177)</f>
        <v>15.04</v>
      </c>
      <c r="N177" s="8">
        <v>0</v>
      </c>
      <c r="O177" s="8">
        <v>0</v>
      </c>
      <c r="P177" s="8">
        <v>0</v>
      </c>
      <c r="Q177" s="99">
        <f t="shared" si="25"/>
        <v>15.04</v>
      </c>
    </row>
    <row r="178" spans="1:17" ht="38.049999999999997" customHeight="1" x14ac:dyDescent="0.25">
      <c r="A178" s="7" t="s">
        <v>276</v>
      </c>
      <c r="B178" s="33" t="s">
        <v>228</v>
      </c>
      <c r="C178" s="8">
        <v>0</v>
      </c>
      <c r="D178" s="8">
        <v>0</v>
      </c>
      <c r="E178" s="8">
        <v>74.260000000000005</v>
      </c>
      <c r="F178" s="8">
        <v>0</v>
      </c>
      <c r="G178" s="8">
        <f t="shared" si="24"/>
        <v>74.260000000000005</v>
      </c>
      <c r="H178" s="8">
        <v>0</v>
      </c>
      <c r="I178" s="8">
        <v>0</v>
      </c>
      <c r="J178" s="8">
        <f t="shared" si="23"/>
        <v>74.260000000000005</v>
      </c>
      <c r="K178" s="8">
        <v>0</v>
      </c>
      <c r="L178" s="8">
        <v>0</v>
      </c>
      <c r="M178" s="8">
        <f t="shared" si="22"/>
        <v>74.260000000000005</v>
      </c>
      <c r="N178" s="8">
        <v>0</v>
      </c>
      <c r="O178" s="8">
        <v>0</v>
      </c>
      <c r="P178" s="8">
        <v>0</v>
      </c>
      <c r="Q178" s="99">
        <f t="shared" si="25"/>
        <v>74.260000000000005</v>
      </c>
    </row>
    <row r="179" spans="1:17" ht="38.049999999999997" customHeight="1" x14ac:dyDescent="0.25">
      <c r="A179" s="7" t="s">
        <v>277</v>
      </c>
      <c r="B179" s="33" t="s">
        <v>228</v>
      </c>
      <c r="C179" s="8">
        <v>0</v>
      </c>
      <c r="D179" s="8">
        <v>0</v>
      </c>
      <c r="E179" s="8">
        <v>182.4</v>
      </c>
      <c r="F179" s="8">
        <v>0</v>
      </c>
      <c r="G179" s="8">
        <f t="shared" si="24"/>
        <v>182.4</v>
      </c>
      <c r="H179" s="8">
        <v>0</v>
      </c>
      <c r="I179" s="8">
        <v>0</v>
      </c>
      <c r="J179" s="8">
        <f t="shared" si="23"/>
        <v>182.4</v>
      </c>
      <c r="K179" s="8">
        <v>0</v>
      </c>
      <c r="L179" s="8">
        <v>0</v>
      </c>
      <c r="M179" s="8">
        <f t="shared" si="22"/>
        <v>182.4</v>
      </c>
      <c r="N179" s="8">
        <v>0</v>
      </c>
      <c r="O179" s="8">
        <v>0</v>
      </c>
      <c r="P179" s="8">
        <v>0</v>
      </c>
      <c r="Q179" s="99">
        <f t="shared" si="25"/>
        <v>182.4</v>
      </c>
    </row>
    <row r="180" spans="1:17" ht="14.95" customHeight="1" x14ac:dyDescent="0.25">
      <c r="A180" s="7" t="s">
        <v>305</v>
      </c>
      <c r="B180" s="33" t="s">
        <v>228</v>
      </c>
      <c r="C180" s="8">
        <v>0</v>
      </c>
      <c r="D180" s="8">
        <f>1510.99</f>
        <v>1510.99</v>
      </c>
      <c r="E180" s="8">
        <v>0</v>
      </c>
      <c r="F180" s="8">
        <v>0</v>
      </c>
      <c r="G180" s="8">
        <f t="shared" si="24"/>
        <v>1510.99</v>
      </c>
      <c r="H180" s="8">
        <v>0</v>
      </c>
      <c r="I180" s="8">
        <v>0</v>
      </c>
      <c r="J180" s="8">
        <f t="shared" si="23"/>
        <v>1510.99</v>
      </c>
      <c r="K180" s="8">
        <v>0</v>
      </c>
      <c r="L180" s="8">
        <v>0</v>
      </c>
      <c r="M180" s="8">
        <f t="shared" si="22"/>
        <v>1510.99</v>
      </c>
      <c r="N180" s="8">
        <v>0</v>
      </c>
      <c r="O180" s="8">
        <v>0</v>
      </c>
      <c r="P180" s="8">
        <v>0</v>
      </c>
      <c r="Q180" s="99">
        <f t="shared" si="25"/>
        <v>1510.99</v>
      </c>
    </row>
    <row r="181" spans="1:17" ht="14.95" customHeight="1" x14ac:dyDescent="0.25">
      <c r="A181" s="7" t="s">
        <v>306</v>
      </c>
      <c r="B181" s="33" t="s">
        <v>228</v>
      </c>
      <c r="C181" s="8">
        <v>0</v>
      </c>
      <c r="D181" s="8">
        <f>88.89</f>
        <v>88.89</v>
      </c>
      <c r="E181" s="8">
        <v>0</v>
      </c>
      <c r="F181" s="8">
        <v>0</v>
      </c>
      <c r="G181" s="8">
        <f t="shared" si="24"/>
        <v>88.89</v>
      </c>
      <c r="H181" s="8">
        <v>0</v>
      </c>
      <c r="I181" s="8">
        <v>0</v>
      </c>
      <c r="J181" s="8">
        <f t="shared" si="23"/>
        <v>88.89</v>
      </c>
      <c r="K181" s="8">
        <v>0</v>
      </c>
      <c r="L181" s="8">
        <v>0</v>
      </c>
      <c r="M181" s="8">
        <f t="shared" si="22"/>
        <v>88.89</v>
      </c>
      <c r="N181" s="8">
        <v>0</v>
      </c>
      <c r="O181" s="8">
        <v>0</v>
      </c>
      <c r="P181" s="8">
        <v>0</v>
      </c>
      <c r="Q181" s="99">
        <f t="shared" si="25"/>
        <v>88.89</v>
      </c>
    </row>
    <row r="182" spans="1:17" ht="14.95" customHeight="1" x14ac:dyDescent="0.25">
      <c r="A182" s="34" t="s">
        <v>67</v>
      </c>
      <c r="B182" s="33" t="s">
        <v>228</v>
      </c>
      <c r="C182" s="8">
        <v>1717</v>
      </c>
      <c r="D182" s="8">
        <v>0</v>
      </c>
      <c r="E182" s="8">
        <v>63</v>
      </c>
      <c r="F182" s="8">
        <v>0</v>
      </c>
      <c r="G182" s="8">
        <f t="shared" si="24"/>
        <v>1780</v>
      </c>
      <c r="H182" s="8">
        <v>0</v>
      </c>
      <c r="I182" s="8">
        <v>0</v>
      </c>
      <c r="J182" s="8">
        <f t="shared" si="23"/>
        <v>1780</v>
      </c>
      <c r="K182" s="8">
        <f>100</f>
        <v>100</v>
      </c>
      <c r="L182" s="8">
        <v>0</v>
      </c>
      <c r="M182" s="8">
        <f t="shared" si="22"/>
        <v>1880</v>
      </c>
      <c r="N182" s="8">
        <v>0</v>
      </c>
      <c r="O182" s="8">
        <f>682</f>
        <v>682</v>
      </c>
      <c r="P182" s="8">
        <v>0</v>
      </c>
      <c r="Q182" s="99">
        <f t="shared" si="25"/>
        <v>2562</v>
      </c>
    </row>
    <row r="183" spans="1:17" ht="14.95" customHeight="1" x14ac:dyDescent="0.25">
      <c r="A183" s="34" t="s">
        <v>334</v>
      </c>
      <c r="B183" s="33" t="s">
        <v>302</v>
      </c>
      <c r="C183" s="8">
        <v>0</v>
      </c>
      <c r="D183" s="8">
        <v>0</v>
      </c>
      <c r="E183" s="8">
        <v>0</v>
      </c>
      <c r="F183" s="8">
        <f>402.67</f>
        <v>402.67</v>
      </c>
      <c r="G183" s="8">
        <f>SUM(C183:F183)</f>
        <v>402.67</v>
      </c>
      <c r="H183" s="8">
        <v>0</v>
      </c>
      <c r="I183" s="8">
        <v>0</v>
      </c>
      <c r="J183" s="8">
        <f t="shared" si="23"/>
        <v>402.67</v>
      </c>
      <c r="K183" s="8">
        <v>0</v>
      </c>
      <c r="L183" s="8">
        <v>0</v>
      </c>
      <c r="M183" s="8">
        <f t="shared" ref="M183:M258" si="27">SUM(J183:L183)</f>
        <v>402.67</v>
      </c>
      <c r="N183" s="8">
        <v>0</v>
      </c>
      <c r="O183" s="8">
        <v>0</v>
      </c>
      <c r="P183" s="8">
        <v>0</v>
      </c>
      <c r="Q183" s="99">
        <f t="shared" si="25"/>
        <v>402.67</v>
      </c>
    </row>
    <row r="184" spans="1:17" ht="14.95" customHeight="1" x14ac:dyDescent="0.25">
      <c r="A184" s="34" t="s">
        <v>465</v>
      </c>
      <c r="B184" s="33" t="s">
        <v>418</v>
      </c>
      <c r="C184" s="8">
        <v>0</v>
      </c>
      <c r="D184" s="8"/>
      <c r="E184" s="8"/>
      <c r="F184" s="8"/>
      <c r="G184" s="8"/>
      <c r="H184" s="8"/>
      <c r="I184" s="8"/>
      <c r="J184" s="8"/>
      <c r="K184" s="8"/>
      <c r="L184" s="8"/>
      <c r="M184" s="8">
        <v>0</v>
      </c>
      <c r="N184" s="8">
        <f>29.81</f>
        <v>29.81</v>
      </c>
      <c r="O184" s="8">
        <v>0</v>
      </c>
      <c r="P184" s="8">
        <v>0</v>
      </c>
      <c r="Q184" s="99">
        <f t="shared" si="25"/>
        <v>29.81</v>
      </c>
    </row>
    <row r="185" spans="1:17" ht="14.95" customHeight="1" x14ac:dyDescent="0.25">
      <c r="A185" s="34" t="s">
        <v>466</v>
      </c>
      <c r="B185" s="33" t="s">
        <v>418</v>
      </c>
      <c r="C185" s="8">
        <v>0</v>
      </c>
      <c r="D185" s="8"/>
      <c r="E185" s="8"/>
      <c r="F185" s="8"/>
      <c r="G185" s="8"/>
      <c r="H185" s="8"/>
      <c r="I185" s="8"/>
      <c r="J185" s="8"/>
      <c r="K185" s="8"/>
      <c r="L185" s="8"/>
      <c r="M185" s="8">
        <v>0</v>
      </c>
      <c r="N185" s="8">
        <f>3.32</f>
        <v>3.32</v>
      </c>
      <c r="O185" s="8">
        <v>0</v>
      </c>
      <c r="P185" s="8">
        <v>0</v>
      </c>
      <c r="Q185" s="99">
        <f t="shared" si="25"/>
        <v>3.32</v>
      </c>
    </row>
    <row r="186" spans="1:17" ht="14.95" customHeight="1" x14ac:dyDescent="0.25">
      <c r="A186" s="34" t="s">
        <v>68</v>
      </c>
      <c r="B186" s="33" t="s">
        <v>228</v>
      </c>
      <c r="C186" s="8">
        <v>11141</v>
      </c>
      <c r="D186" s="8">
        <v>0</v>
      </c>
      <c r="E186" s="8">
        <v>339.05</v>
      </c>
      <c r="F186" s="8">
        <v>0</v>
      </c>
      <c r="G186" s="8">
        <f t="shared" si="24"/>
        <v>11480.05</v>
      </c>
      <c r="H186" s="8">
        <v>149</v>
      </c>
      <c r="I186" s="8">
        <v>0</v>
      </c>
      <c r="J186" s="8">
        <f t="shared" si="23"/>
        <v>11629.05</v>
      </c>
      <c r="K186" s="8">
        <f>95.83</f>
        <v>95.83</v>
      </c>
      <c r="L186" s="8">
        <v>0</v>
      </c>
      <c r="M186" s="8">
        <f t="shared" si="27"/>
        <v>11724.88</v>
      </c>
      <c r="N186" s="8">
        <v>0</v>
      </c>
      <c r="O186" s="8">
        <v>0</v>
      </c>
      <c r="P186" s="8">
        <v>0</v>
      </c>
      <c r="Q186" s="99">
        <f t="shared" si="25"/>
        <v>11724.88</v>
      </c>
    </row>
    <row r="187" spans="1:17" ht="14.95" customHeight="1" x14ac:dyDescent="0.25">
      <c r="A187" s="34" t="s">
        <v>426</v>
      </c>
      <c r="B187" s="33" t="s">
        <v>418</v>
      </c>
      <c r="C187" s="8">
        <v>0</v>
      </c>
      <c r="D187" s="8"/>
      <c r="E187" s="8"/>
      <c r="F187" s="8"/>
      <c r="G187" s="8"/>
      <c r="H187" s="8"/>
      <c r="I187" s="8"/>
      <c r="J187" s="8">
        <v>0</v>
      </c>
      <c r="K187" s="8">
        <v>0</v>
      </c>
      <c r="L187" s="8">
        <f>412.66</f>
        <v>412.66</v>
      </c>
      <c r="M187" s="8">
        <f>SUM(J187:L187)</f>
        <v>412.66</v>
      </c>
      <c r="N187" s="8">
        <v>0</v>
      </c>
      <c r="O187" s="8">
        <v>0</v>
      </c>
      <c r="P187" s="8">
        <v>0</v>
      </c>
      <c r="Q187" s="99">
        <f t="shared" si="25"/>
        <v>412.66</v>
      </c>
    </row>
    <row r="188" spans="1:17" ht="14.95" customHeight="1" x14ac:dyDescent="0.25">
      <c r="A188" s="34" t="s">
        <v>427</v>
      </c>
      <c r="B188" s="33" t="s">
        <v>418</v>
      </c>
      <c r="C188" s="8">
        <v>0</v>
      </c>
      <c r="D188" s="8"/>
      <c r="E188" s="8"/>
      <c r="F188" s="8"/>
      <c r="G188" s="8"/>
      <c r="H188" s="8"/>
      <c r="I188" s="8"/>
      <c r="J188" s="8">
        <v>0</v>
      </c>
      <c r="K188" s="8">
        <v>0</v>
      </c>
      <c r="L188" s="8">
        <f>45.86</f>
        <v>45.86</v>
      </c>
      <c r="M188" s="8">
        <f>SUM(J188:L188)</f>
        <v>45.86</v>
      </c>
      <c r="N188" s="8">
        <v>0</v>
      </c>
      <c r="O188" s="8">
        <v>0</v>
      </c>
      <c r="P188" s="8">
        <v>0</v>
      </c>
      <c r="Q188" s="99">
        <f t="shared" si="25"/>
        <v>45.86</v>
      </c>
    </row>
    <row r="189" spans="1:17" ht="14.95" customHeight="1" x14ac:dyDescent="0.25">
      <c r="A189" s="34" t="s">
        <v>404</v>
      </c>
      <c r="B189" s="33" t="s">
        <v>403</v>
      </c>
      <c r="C189" s="8">
        <v>0</v>
      </c>
      <c r="D189" s="8"/>
      <c r="E189" s="8"/>
      <c r="F189" s="8"/>
      <c r="G189" s="8"/>
      <c r="H189" s="8"/>
      <c r="I189" s="8"/>
      <c r="J189" s="8">
        <f>1254.57</f>
        <v>1254.57</v>
      </c>
      <c r="K189" s="8">
        <v>0</v>
      </c>
      <c r="L189" s="8">
        <v>0</v>
      </c>
      <c r="M189" s="8">
        <f>SUM(J189:L189)</f>
        <v>1254.57</v>
      </c>
      <c r="N189" s="8">
        <v>0</v>
      </c>
      <c r="O189" s="8">
        <v>0</v>
      </c>
      <c r="P189" s="8">
        <v>0</v>
      </c>
      <c r="Q189" s="99">
        <f t="shared" si="25"/>
        <v>1254.57</v>
      </c>
    </row>
    <row r="190" spans="1:17" ht="14.95" customHeight="1" x14ac:dyDescent="0.25">
      <c r="A190" s="34" t="s">
        <v>69</v>
      </c>
      <c r="B190" s="33" t="s">
        <v>228</v>
      </c>
      <c r="C190" s="8">
        <v>2618</v>
      </c>
      <c r="D190" s="8">
        <v>0</v>
      </c>
      <c r="E190" s="8">
        <v>60</v>
      </c>
      <c r="F190" s="8">
        <v>0</v>
      </c>
      <c r="G190" s="8">
        <f t="shared" si="24"/>
        <v>2678</v>
      </c>
      <c r="H190" s="8">
        <v>0</v>
      </c>
      <c r="I190" s="8">
        <v>0</v>
      </c>
      <c r="J190" s="8">
        <f t="shared" si="23"/>
        <v>2678</v>
      </c>
      <c r="K190" s="8">
        <v>0</v>
      </c>
      <c r="L190" s="8">
        <v>0</v>
      </c>
      <c r="M190" s="8">
        <f t="shared" si="27"/>
        <v>2678</v>
      </c>
      <c r="N190" s="8">
        <v>0</v>
      </c>
      <c r="O190" s="8">
        <v>0</v>
      </c>
      <c r="P190" s="8">
        <v>0</v>
      </c>
      <c r="Q190" s="99">
        <f t="shared" si="25"/>
        <v>2678</v>
      </c>
    </row>
    <row r="191" spans="1:17" ht="14.95" customHeight="1" x14ac:dyDescent="0.25">
      <c r="A191" s="34" t="s">
        <v>412</v>
      </c>
      <c r="B191" s="33" t="s">
        <v>403</v>
      </c>
      <c r="C191" s="8">
        <v>0</v>
      </c>
      <c r="D191" s="8"/>
      <c r="E191" s="8"/>
      <c r="F191" s="8"/>
      <c r="G191" s="8"/>
      <c r="H191" s="8"/>
      <c r="I191" s="8"/>
      <c r="J191" s="8">
        <f>389.64</f>
        <v>389.64</v>
      </c>
      <c r="K191" s="8">
        <v>0</v>
      </c>
      <c r="L191" s="8">
        <v>0</v>
      </c>
      <c r="M191" s="8">
        <f t="shared" si="27"/>
        <v>389.64</v>
      </c>
      <c r="N191" s="8">
        <v>0</v>
      </c>
      <c r="O191" s="8">
        <v>0</v>
      </c>
      <c r="P191" s="8">
        <v>0</v>
      </c>
      <c r="Q191" s="99">
        <f>SUM(M191:P191)</f>
        <v>389.64</v>
      </c>
    </row>
    <row r="192" spans="1:17" ht="14.95" customHeight="1" x14ac:dyDescent="0.25">
      <c r="A192" s="34" t="s">
        <v>477</v>
      </c>
      <c r="B192" s="33" t="s">
        <v>418</v>
      </c>
      <c r="C192" s="8">
        <v>0</v>
      </c>
      <c r="D192" s="8"/>
      <c r="E192" s="8"/>
      <c r="F192" s="8"/>
      <c r="G192" s="8"/>
      <c r="H192" s="8"/>
      <c r="I192" s="8"/>
      <c r="J192" s="8"/>
      <c r="K192" s="8"/>
      <c r="L192" s="8"/>
      <c r="M192" s="8">
        <v>0</v>
      </c>
      <c r="N192" s="8">
        <v>0</v>
      </c>
      <c r="O192" s="8">
        <v>0</v>
      </c>
      <c r="P192" s="8">
        <f>4.48</f>
        <v>4.4800000000000004</v>
      </c>
      <c r="Q192" s="99">
        <f>SUM(M192:P192)</f>
        <v>4.4800000000000004</v>
      </c>
    </row>
    <row r="193" spans="1:17" ht="14.95" customHeight="1" x14ac:dyDescent="0.25">
      <c r="A193" s="34" t="s">
        <v>478</v>
      </c>
      <c r="B193" s="33" t="s">
        <v>418</v>
      </c>
      <c r="C193" s="8">
        <v>0</v>
      </c>
      <c r="D193" s="8"/>
      <c r="E193" s="8"/>
      <c r="F193" s="8"/>
      <c r="G193" s="8"/>
      <c r="H193" s="8"/>
      <c r="I193" s="8"/>
      <c r="J193" s="8"/>
      <c r="K193" s="8"/>
      <c r="L193" s="8"/>
      <c r="M193" s="8">
        <v>0</v>
      </c>
      <c r="N193" s="8">
        <v>0</v>
      </c>
      <c r="O193" s="8">
        <v>0</v>
      </c>
      <c r="P193" s="8">
        <f>0.5</f>
        <v>0.5</v>
      </c>
      <c r="Q193" s="99">
        <f>SUM(M193:P193)</f>
        <v>0.5</v>
      </c>
    </row>
    <row r="194" spans="1:17" ht="14.95" customHeight="1" x14ac:dyDescent="0.25">
      <c r="A194" s="34" t="s">
        <v>70</v>
      </c>
      <c r="B194" s="33" t="s">
        <v>228</v>
      </c>
      <c r="C194" s="8">
        <v>2082</v>
      </c>
      <c r="D194" s="8">
        <v>0</v>
      </c>
      <c r="E194" s="8">
        <v>602</v>
      </c>
      <c r="F194" s="8">
        <v>0</v>
      </c>
      <c r="G194" s="8">
        <f t="shared" si="24"/>
        <v>2684</v>
      </c>
      <c r="H194" s="8">
        <v>0</v>
      </c>
      <c r="I194" s="8">
        <v>0</v>
      </c>
      <c r="J194" s="8">
        <f t="shared" si="23"/>
        <v>2684</v>
      </c>
      <c r="K194" s="8">
        <v>0</v>
      </c>
      <c r="L194" s="8">
        <v>0</v>
      </c>
      <c r="M194" s="8">
        <f t="shared" si="27"/>
        <v>2684</v>
      </c>
      <c r="N194" s="8">
        <v>0</v>
      </c>
      <c r="O194" s="8">
        <v>0</v>
      </c>
      <c r="P194" s="8">
        <v>0</v>
      </c>
      <c r="Q194" s="99">
        <f t="shared" si="25"/>
        <v>2684</v>
      </c>
    </row>
    <row r="195" spans="1:17" ht="14.95" customHeight="1" x14ac:dyDescent="0.25">
      <c r="A195" s="34" t="s">
        <v>71</v>
      </c>
      <c r="B195" s="33" t="s">
        <v>228</v>
      </c>
      <c r="C195" s="8">
        <v>1458</v>
      </c>
      <c r="D195" s="8">
        <v>0</v>
      </c>
      <c r="E195" s="8">
        <v>8</v>
      </c>
      <c r="F195" s="8">
        <v>0</v>
      </c>
      <c r="G195" s="8">
        <f t="shared" si="24"/>
        <v>1466</v>
      </c>
      <c r="H195" s="8">
        <v>0</v>
      </c>
      <c r="I195" s="8">
        <v>0</v>
      </c>
      <c r="J195" s="8">
        <f t="shared" ref="J195:J270" si="28">SUM(G195:I195)</f>
        <v>1466</v>
      </c>
      <c r="K195" s="8">
        <v>0</v>
      </c>
      <c r="L195" s="8">
        <v>0</v>
      </c>
      <c r="M195" s="8">
        <f t="shared" si="27"/>
        <v>1466</v>
      </c>
      <c r="N195" s="8">
        <v>0</v>
      </c>
      <c r="O195" s="8">
        <v>0</v>
      </c>
      <c r="P195" s="8">
        <v>0</v>
      </c>
      <c r="Q195" s="99">
        <f t="shared" si="25"/>
        <v>1466</v>
      </c>
    </row>
    <row r="196" spans="1:17" ht="14.95" customHeight="1" x14ac:dyDescent="0.25">
      <c r="A196" s="34" t="s">
        <v>402</v>
      </c>
      <c r="B196" s="33" t="s">
        <v>403</v>
      </c>
      <c r="C196" s="8">
        <v>0</v>
      </c>
      <c r="D196" s="8"/>
      <c r="E196" s="8"/>
      <c r="F196" s="8"/>
      <c r="G196" s="8"/>
      <c r="H196" s="8"/>
      <c r="I196" s="8"/>
      <c r="J196" s="8">
        <f>1347.71</f>
        <v>1347.71</v>
      </c>
      <c r="K196" s="8">
        <v>0</v>
      </c>
      <c r="L196" s="8">
        <v>0</v>
      </c>
      <c r="M196" s="8">
        <f>SUM(J196:L196)</f>
        <v>1347.71</v>
      </c>
      <c r="N196" s="8">
        <v>0</v>
      </c>
      <c r="O196" s="8">
        <v>0</v>
      </c>
      <c r="P196" s="8">
        <v>0</v>
      </c>
      <c r="Q196" s="99">
        <f t="shared" si="25"/>
        <v>1347.71</v>
      </c>
    </row>
    <row r="197" spans="1:17" ht="14.95" customHeight="1" x14ac:dyDescent="0.25">
      <c r="A197" s="34" t="s">
        <v>72</v>
      </c>
      <c r="B197" s="33" t="s">
        <v>228</v>
      </c>
      <c r="C197" s="8">
        <v>21688</v>
      </c>
      <c r="D197" s="8">
        <v>0</v>
      </c>
      <c r="E197" s="8">
        <v>891</v>
      </c>
      <c r="F197" s="8">
        <v>0</v>
      </c>
      <c r="G197" s="8">
        <f t="shared" si="24"/>
        <v>22579</v>
      </c>
      <c r="H197" s="8">
        <v>0</v>
      </c>
      <c r="I197" s="8">
        <v>0</v>
      </c>
      <c r="J197" s="8">
        <f t="shared" si="28"/>
        <v>22579</v>
      </c>
      <c r="K197" s="8">
        <v>0</v>
      </c>
      <c r="L197" s="8">
        <v>0</v>
      </c>
      <c r="M197" s="8">
        <f t="shared" si="27"/>
        <v>22579</v>
      </c>
      <c r="N197" s="8">
        <v>0</v>
      </c>
      <c r="O197" s="8">
        <v>0</v>
      </c>
      <c r="P197" s="8">
        <v>0</v>
      </c>
      <c r="Q197" s="99">
        <f t="shared" si="25"/>
        <v>22579</v>
      </c>
    </row>
    <row r="198" spans="1:17" ht="14.95" customHeight="1" x14ac:dyDescent="0.25">
      <c r="A198" s="34" t="s">
        <v>353</v>
      </c>
      <c r="B198" s="33" t="s">
        <v>228</v>
      </c>
      <c r="C198" s="8">
        <v>0</v>
      </c>
      <c r="D198" s="8">
        <v>0</v>
      </c>
      <c r="E198" s="8">
        <v>0</v>
      </c>
      <c r="F198" s="8">
        <f>1827</f>
        <v>1827</v>
      </c>
      <c r="G198" s="8">
        <f>SUM(C198:F198)</f>
        <v>1827</v>
      </c>
      <c r="H198" s="8">
        <v>0</v>
      </c>
      <c r="I198" s="8">
        <v>0</v>
      </c>
      <c r="J198" s="8">
        <f t="shared" si="28"/>
        <v>1827</v>
      </c>
      <c r="K198" s="8">
        <v>0</v>
      </c>
      <c r="L198" s="8">
        <v>0</v>
      </c>
      <c r="M198" s="8">
        <f t="shared" si="27"/>
        <v>1827</v>
      </c>
      <c r="N198" s="8">
        <v>0</v>
      </c>
      <c r="O198" s="8">
        <v>0</v>
      </c>
      <c r="P198" s="8">
        <v>0</v>
      </c>
      <c r="Q198" s="99">
        <f t="shared" si="25"/>
        <v>1827</v>
      </c>
    </row>
    <row r="199" spans="1:17" ht="14.95" customHeight="1" x14ac:dyDescent="0.25">
      <c r="A199" s="7" t="s">
        <v>73</v>
      </c>
      <c r="B199" s="33" t="s">
        <v>228</v>
      </c>
      <c r="C199" s="8">
        <v>26800</v>
      </c>
      <c r="D199" s="8">
        <v>0</v>
      </c>
      <c r="E199" s="8">
        <v>1503</v>
      </c>
      <c r="F199" s="8">
        <v>0</v>
      </c>
      <c r="G199" s="8">
        <f t="shared" si="24"/>
        <v>28303</v>
      </c>
      <c r="H199" s="8">
        <v>0</v>
      </c>
      <c r="I199" s="8">
        <v>0</v>
      </c>
      <c r="J199" s="8">
        <f t="shared" si="28"/>
        <v>28303</v>
      </c>
      <c r="K199" s="8">
        <v>0</v>
      </c>
      <c r="L199" s="8">
        <v>0</v>
      </c>
      <c r="M199" s="8">
        <f t="shared" si="27"/>
        <v>28303</v>
      </c>
      <c r="N199" s="8">
        <v>0</v>
      </c>
      <c r="O199" s="8">
        <f>400</f>
        <v>400</v>
      </c>
      <c r="P199" s="8">
        <v>0</v>
      </c>
      <c r="Q199" s="97">
        <f t="shared" si="25"/>
        <v>28703</v>
      </c>
    </row>
    <row r="200" spans="1:17" ht="40.1" customHeight="1" x14ac:dyDescent="0.25">
      <c r="A200" s="131" t="s">
        <v>74</v>
      </c>
      <c r="B200" s="124"/>
      <c r="C200" s="127">
        <v>5000</v>
      </c>
      <c r="D200" s="137">
        <f>-2807.38</f>
        <v>-2807.38</v>
      </c>
      <c r="E200" s="137">
        <v>426.22</v>
      </c>
      <c r="F200" s="137">
        <v>0</v>
      </c>
      <c r="G200" s="137">
        <f t="shared" si="24"/>
        <v>2618.84</v>
      </c>
      <c r="H200" s="137">
        <v>0</v>
      </c>
      <c r="I200" s="137">
        <v>0</v>
      </c>
      <c r="J200" s="137">
        <f t="shared" si="28"/>
        <v>2618.84</v>
      </c>
      <c r="K200" s="137">
        <f>806.84</f>
        <v>806.84</v>
      </c>
      <c r="L200" s="137">
        <v>0</v>
      </c>
      <c r="M200" s="127">
        <f t="shared" si="27"/>
        <v>3425.6800000000003</v>
      </c>
      <c r="N200" s="127">
        <v>0</v>
      </c>
      <c r="O200" s="127">
        <f>-3225.68</f>
        <v>-3225.68</v>
      </c>
      <c r="P200" s="127">
        <v>0</v>
      </c>
      <c r="Q200" s="138">
        <f t="shared" ref="Q200:Q263" si="29">SUM(M200:P200)</f>
        <v>200.00000000000045</v>
      </c>
    </row>
    <row r="201" spans="1:17" ht="14.95" customHeight="1" x14ac:dyDescent="0.25">
      <c r="A201" s="131" t="s">
        <v>75</v>
      </c>
      <c r="B201" s="124" t="s">
        <v>398</v>
      </c>
      <c r="C201" s="127">
        <v>0</v>
      </c>
      <c r="D201" s="137">
        <f>342.88</f>
        <v>342.88</v>
      </c>
      <c r="E201" s="137">
        <v>0</v>
      </c>
      <c r="F201" s="137">
        <v>0</v>
      </c>
      <c r="G201" s="137">
        <f t="shared" si="24"/>
        <v>342.88</v>
      </c>
      <c r="H201" s="137">
        <v>0</v>
      </c>
      <c r="I201" s="137">
        <v>0</v>
      </c>
      <c r="J201" s="137">
        <f t="shared" si="28"/>
        <v>342.88</v>
      </c>
      <c r="K201" s="137">
        <f>-113.96</f>
        <v>-113.96</v>
      </c>
      <c r="L201" s="137">
        <v>0</v>
      </c>
      <c r="M201" s="127">
        <f t="shared" si="27"/>
        <v>228.92000000000002</v>
      </c>
      <c r="N201" s="127">
        <v>0</v>
      </c>
      <c r="O201" s="127">
        <v>0</v>
      </c>
      <c r="P201" s="127">
        <v>0</v>
      </c>
      <c r="Q201" s="138">
        <f t="shared" si="29"/>
        <v>228.92000000000002</v>
      </c>
    </row>
    <row r="202" spans="1:17" ht="14.95" customHeight="1" x14ac:dyDescent="0.25">
      <c r="A202" s="131" t="s">
        <v>76</v>
      </c>
      <c r="B202" s="124" t="s">
        <v>398</v>
      </c>
      <c r="C202" s="127">
        <v>0</v>
      </c>
      <c r="D202" s="137">
        <v>154.59</v>
      </c>
      <c r="E202" s="137">
        <v>0</v>
      </c>
      <c r="F202" s="137">
        <v>0</v>
      </c>
      <c r="G202" s="137">
        <f t="shared" si="24"/>
        <v>154.59</v>
      </c>
      <c r="H202" s="137">
        <v>0</v>
      </c>
      <c r="I202" s="137">
        <v>0</v>
      </c>
      <c r="J202" s="137">
        <f t="shared" si="28"/>
        <v>154.59</v>
      </c>
      <c r="K202" s="137">
        <f>-41.08</f>
        <v>-41.08</v>
      </c>
      <c r="L202" s="137">
        <v>0</v>
      </c>
      <c r="M202" s="127">
        <f t="shared" si="27"/>
        <v>113.51</v>
      </c>
      <c r="N202" s="127">
        <v>0</v>
      </c>
      <c r="O202" s="127">
        <v>0</v>
      </c>
      <c r="P202" s="127">
        <v>0</v>
      </c>
      <c r="Q202" s="138">
        <f t="shared" si="29"/>
        <v>113.51</v>
      </c>
    </row>
    <row r="203" spans="1:17" ht="14.95" customHeight="1" x14ac:dyDescent="0.25">
      <c r="A203" s="131" t="s">
        <v>77</v>
      </c>
      <c r="B203" s="124" t="s">
        <v>398</v>
      </c>
      <c r="C203" s="127">
        <v>0</v>
      </c>
      <c r="D203" s="137">
        <v>257.52999999999997</v>
      </c>
      <c r="E203" s="137">
        <v>0</v>
      </c>
      <c r="F203" s="137">
        <v>0</v>
      </c>
      <c r="G203" s="137">
        <f t="shared" si="24"/>
        <v>257.52999999999997</v>
      </c>
      <c r="H203" s="137">
        <v>0</v>
      </c>
      <c r="I203" s="137">
        <v>0</v>
      </c>
      <c r="J203" s="137">
        <f t="shared" si="28"/>
        <v>257.52999999999997</v>
      </c>
      <c r="K203" s="137">
        <f>-64.58</f>
        <v>-64.58</v>
      </c>
      <c r="L203" s="137">
        <v>0</v>
      </c>
      <c r="M203" s="127">
        <f t="shared" si="27"/>
        <v>192.95</v>
      </c>
      <c r="N203" s="127">
        <v>0</v>
      </c>
      <c r="O203" s="127">
        <v>0</v>
      </c>
      <c r="P203" s="127">
        <v>0</v>
      </c>
      <c r="Q203" s="138">
        <f t="shared" si="29"/>
        <v>192.95</v>
      </c>
    </row>
    <row r="204" spans="1:17" ht="14.95" customHeight="1" x14ac:dyDescent="0.25">
      <c r="A204" s="131" t="s">
        <v>78</v>
      </c>
      <c r="B204" s="124" t="s">
        <v>398</v>
      </c>
      <c r="C204" s="127">
        <v>0</v>
      </c>
      <c r="D204" s="137">
        <v>412.23</v>
      </c>
      <c r="E204" s="137">
        <v>0</v>
      </c>
      <c r="F204" s="137">
        <v>0</v>
      </c>
      <c r="G204" s="137">
        <f t="shared" si="24"/>
        <v>412.23</v>
      </c>
      <c r="H204" s="137">
        <v>0</v>
      </c>
      <c r="I204" s="137">
        <v>0</v>
      </c>
      <c r="J204" s="137">
        <f t="shared" si="28"/>
        <v>412.23</v>
      </c>
      <c r="K204" s="137">
        <f>-76.32</f>
        <v>-76.319999999999993</v>
      </c>
      <c r="L204" s="137">
        <v>0</v>
      </c>
      <c r="M204" s="127">
        <f t="shared" si="27"/>
        <v>335.91</v>
      </c>
      <c r="N204" s="127">
        <v>0</v>
      </c>
      <c r="O204" s="127">
        <v>0</v>
      </c>
      <c r="P204" s="127">
        <v>0</v>
      </c>
      <c r="Q204" s="138">
        <f t="shared" si="29"/>
        <v>335.91</v>
      </c>
    </row>
    <row r="205" spans="1:17" ht="14.95" customHeight="1" x14ac:dyDescent="0.25">
      <c r="A205" s="131" t="s">
        <v>79</v>
      </c>
      <c r="B205" s="124" t="s">
        <v>398</v>
      </c>
      <c r="C205" s="127">
        <v>0</v>
      </c>
      <c r="D205" s="137">
        <v>335.62</v>
      </c>
      <c r="E205" s="137">
        <v>0</v>
      </c>
      <c r="F205" s="137">
        <v>0</v>
      </c>
      <c r="G205" s="137">
        <f t="shared" si="24"/>
        <v>335.62</v>
      </c>
      <c r="H205" s="137">
        <v>0</v>
      </c>
      <c r="I205" s="137">
        <v>0</v>
      </c>
      <c r="J205" s="137">
        <f t="shared" si="28"/>
        <v>335.62</v>
      </c>
      <c r="K205" s="137">
        <f>-67.57</f>
        <v>-67.569999999999993</v>
      </c>
      <c r="L205" s="137">
        <v>0</v>
      </c>
      <c r="M205" s="127">
        <f t="shared" si="27"/>
        <v>268.05</v>
      </c>
      <c r="N205" s="127">
        <v>0</v>
      </c>
      <c r="O205" s="127">
        <v>0</v>
      </c>
      <c r="P205" s="127">
        <v>0</v>
      </c>
      <c r="Q205" s="138">
        <f t="shared" si="29"/>
        <v>268.05</v>
      </c>
    </row>
    <row r="206" spans="1:17" ht="14.95" customHeight="1" x14ac:dyDescent="0.25">
      <c r="A206" s="131" t="s">
        <v>80</v>
      </c>
      <c r="B206" s="124" t="s">
        <v>398</v>
      </c>
      <c r="C206" s="127">
        <v>0</v>
      </c>
      <c r="D206" s="137">
        <v>273.38</v>
      </c>
      <c r="E206" s="137">
        <v>0</v>
      </c>
      <c r="F206" s="137">
        <v>0</v>
      </c>
      <c r="G206" s="137">
        <f t="shared" si="24"/>
        <v>273.38</v>
      </c>
      <c r="H206" s="137">
        <v>0</v>
      </c>
      <c r="I206" s="137">
        <v>0</v>
      </c>
      <c r="J206" s="137">
        <f t="shared" si="28"/>
        <v>273.38</v>
      </c>
      <c r="K206" s="137">
        <f>-58.02</f>
        <v>-58.02</v>
      </c>
      <c r="L206" s="137">
        <v>0</v>
      </c>
      <c r="M206" s="127">
        <f t="shared" si="27"/>
        <v>215.35999999999999</v>
      </c>
      <c r="N206" s="127">
        <v>0</v>
      </c>
      <c r="O206" s="127">
        <v>0</v>
      </c>
      <c r="P206" s="127">
        <v>0</v>
      </c>
      <c r="Q206" s="138">
        <f t="shared" si="29"/>
        <v>215.35999999999999</v>
      </c>
    </row>
    <row r="207" spans="1:17" ht="14.95" customHeight="1" x14ac:dyDescent="0.25">
      <c r="A207" s="131" t="s">
        <v>81</v>
      </c>
      <c r="B207" s="124" t="s">
        <v>398</v>
      </c>
      <c r="C207" s="127">
        <v>0</v>
      </c>
      <c r="D207" s="137">
        <v>331.97</v>
      </c>
      <c r="E207" s="137">
        <v>0</v>
      </c>
      <c r="F207" s="137">
        <v>0</v>
      </c>
      <c r="G207" s="137">
        <f t="shared" si="24"/>
        <v>331.97</v>
      </c>
      <c r="H207" s="137">
        <v>0</v>
      </c>
      <c r="I207" s="137">
        <v>0</v>
      </c>
      <c r="J207" s="137">
        <f t="shared" si="28"/>
        <v>331.97</v>
      </c>
      <c r="K207" s="137">
        <f>-87.02</f>
        <v>-87.02</v>
      </c>
      <c r="L207" s="137">
        <v>0</v>
      </c>
      <c r="M207" s="127">
        <f t="shared" si="27"/>
        <v>244.95000000000005</v>
      </c>
      <c r="N207" s="127">
        <v>0</v>
      </c>
      <c r="O207" s="127">
        <v>0</v>
      </c>
      <c r="P207" s="127">
        <v>0</v>
      </c>
      <c r="Q207" s="138">
        <f t="shared" si="29"/>
        <v>244.95000000000005</v>
      </c>
    </row>
    <row r="208" spans="1:17" ht="14.95" customHeight="1" x14ac:dyDescent="0.25">
      <c r="A208" s="131" t="s">
        <v>82</v>
      </c>
      <c r="B208" s="124" t="s">
        <v>398</v>
      </c>
      <c r="C208" s="127">
        <v>0</v>
      </c>
      <c r="D208" s="137">
        <v>413.6</v>
      </c>
      <c r="E208" s="137">
        <v>0</v>
      </c>
      <c r="F208" s="137">
        <v>0</v>
      </c>
      <c r="G208" s="137">
        <f t="shared" si="24"/>
        <v>413.6</v>
      </c>
      <c r="H208" s="137">
        <v>0</v>
      </c>
      <c r="I208" s="137">
        <v>0</v>
      </c>
      <c r="J208" s="137">
        <f t="shared" si="28"/>
        <v>413.6</v>
      </c>
      <c r="K208" s="137">
        <f>-154.76</f>
        <v>-154.76</v>
      </c>
      <c r="L208" s="137">
        <v>0</v>
      </c>
      <c r="M208" s="127">
        <f t="shared" si="27"/>
        <v>258.84000000000003</v>
      </c>
      <c r="N208" s="127">
        <v>0</v>
      </c>
      <c r="O208" s="127">
        <v>0</v>
      </c>
      <c r="P208" s="127">
        <v>0</v>
      </c>
      <c r="Q208" s="138">
        <f t="shared" si="29"/>
        <v>258.84000000000003</v>
      </c>
    </row>
    <row r="209" spans="1:17" ht="14.95" customHeight="1" x14ac:dyDescent="0.25">
      <c r="A209" s="131" t="s">
        <v>83</v>
      </c>
      <c r="B209" s="124" t="s">
        <v>398</v>
      </c>
      <c r="C209" s="127">
        <v>0</v>
      </c>
      <c r="D209" s="137">
        <v>86.64</v>
      </c>
      <c r="E209" s="137">
        <v>0</v>
      </c>
      <c r="F209" s="137">
        <v>0</v>
      </c>
      <c r="G209" s="137">
        <f t="shared" si="24"/>
        <v>86.64</v>
      </c>
      <c r="H209" s="137">
        <v>0</v>
      </c>
      <c r="I209" s="137">
        <v>0</v>
      </c>
      <c r="J209" s="137">
        <f t="shared" si="28"/>
        <v>86.64</v>
      </c>
      <c r="K209" s="137">
        <f>-35.32</f>
        <v>-35.32</v>
      </c>
      <c r="L209" s="137">
        <v>0</v>
      </c>
      <c r="M209" s="127">
        <f t="shared" si="27"/>
        <v>51.32</v>
      </c>
      <c r="N209" s="127">
        <v>0</v>
      </c>
      <c r="O209" s="127">
        <v>0</v>
      </c>
      <c r="P209" s="127">
        <v>0</v>
      </c>
      <c r="Q209" s="138">
        <f t="shared" si="29"/>
        <v>51.32</v>
      </c>
    </row>
    <row r="210" spans="1:17" ht="14.95" customHeight="1" x14ac:dyDescent="0.25">
      <c r="A210" s="131" t="s">
        <v>258</v>
      </c>
      <c r="B210" s="124" t="s">
        <v>398</v>
      </c>
      <c r="C210" s="127">
        <v>0</v>
      </c>
      <c r="D210" s="137">
        <v>19.38</v>
      </c>
      <c r="E210" s="137">
        <v>0</v>
      </c>
      <c r="F210" s="137">
        <v>0</v>
      </c>
      <c r="G210" s="137">
        <f t="shared" si="24"/>
        <v>19.38</v>
      </c>
      <c r="H210" s="137">
        <v>0</v>
      </c>
      <c r="I210" s="137">
        <v>0</v>
      </c>
      <c r="J210" s="137">
        <f t="shared" si="28"/>
        <v>19.38</v>
      </c>
      <c r="K210" s="137">
        <f>-6.67</f>
        <v>-6.67</v>
      </c>
      <c r="L210" s="137">
        <v>0</v>
      </c>
      <c r="M210" s="127">
        <f t="shared" si="27"/>
        <v>12.709999999999999</v>
      </c>
      <c r="N210" s="127">
        <v>0</v>
      </c>
      <c r="O210" s="127">
        <v>0</v>
      </c>
      <c r="P210" s="127">
        <v>0</v>
      </c>
      <c r="Q210" s="138">
        <f t="shared" si="29"/>
        <v>12.709999999999999</v>
      </c>
    </row>
    <row r="211" spans="1:17" ht="14.95" customHeight="1" x14ac:dyDescent="0.25">
      <c r="A211" s="131" t="s">
        <v>84</v>
      </c>
      <c r="B211" s="124" t="s">
        <v>398</v>
      </c>
      <c r="C211" s="127">
        <v>0</v>
      </c>
      <c r="D211" s="137">
        <v>3.65</v>
      </c>
      <c r="E211" s="137">
        <v>0</v>
      </c>
      <c r="F211" s="137">
        <v>0</v>
      </c>
      <c r="G211" s="137">
        <f t="shared" si="24"/>
        <v>3.65</v>
      </c>
      <c r="H211" s="137">
        <v>0</v>
      </c>
      <c r="I211" s="137">
        <v>0</v>
      </c>
      <c r="J211" s="137">
        <f t="shared" si="28"/>
        <v>3.65</v>
      </c>
      <c r="K211" s="137">
        <f>-0.48</f>
        <v>-0.48</v>
      </c>
      <c r="L211" s="137">
        <v>0</v>
      </c>
      <c r="M211" s="127">
        <f t="shared" si="27"/>
        <v>3.17</v>
      </c>
      <c r="N211" s="127">
        <v>0</v>
      </c>
      <c r="O211" s="127">
        <v>0</v>
      </c>
      <c r="P211" s="127">
        <v>0</v>
      </c>
      <c r="Q211" s="138">
        <f t="shared" si="29"/>
        <v>3.17</v>
      </c>
    </row>
    <row r="212" spans="1:17" ht="14.95" customHeight="1" x14ac:dyDescent="0.25">
      <c r="A212" s="132" t="s">
        <v>85</v>
      </c>
      <c r="B212" s="125" t="s">
        <v>398</v>
      </c>
      <c r="C212" s="128">
        <v>0</v>
      </c>
      <c r="D212" s="130">
        <v>175.91</v>
      </c>
      <c r="E212" s="130">
        <v>0</v>
      </c>
      <c r="F212" s="130">
        <v>0</v>
      </c>
      <c r="G212" s="130">
        <f t="shared" si="24"/>
        <v>175.91</v>
      </c>
      <c r="H212" s="130">
        <v>0</v>
      </c>
      <c r="I212" s="130">
        <v>0</v>
      </c>
      <c r="J212" s="130">
        <f t="shared" si="28"/>
        <v>175.91</v>
      </c>
      <c r="K212" s="130">
        <f>-101.06</f>
        <v>-101.06</v>
      </c>
      <c r="L212" s="130">
        <v>0</v>
      </c>
      <c r="M212" s="128">
        <f t="shared" si="27"/>
        <v>74.849999999999994</v>
      </c>
      <c r="N212" s="128">
        <v>0</v>
      </c>
      <c r="O212" s="128">
        <v>0</v>
      </c>
      <c r="P212" s="128">
        <v>0</v>
      </c>
      <c r="Q212" s="96">
        <f t="shared" si="29"/>
        <v>74.849999999999994</v>
      </c>
    </row>
    <row r="213" spans="1:17" ht="14.95" customHeight="1" x14ac:dyDescent="0.25">
      <c r="A213" s="123" t="s">
        <v>86</v>
      </c>
      <c r="B213" s="125" t="s">
        <v>228</v>
      </c>
      <c r="C213" s="6">
        <v>400</v>
      </c>
      <c r="D213" s="6">
        <v>0</v>
      </c>
      <c r="E213" s="6">
        <v>0</v>
      </c>
      <c r="F213" s="6">
        <v>0</v>
      </c>
      <c r="G213" s="6">
        <f t="shared" si="24"/>
        <v>400</v>
      </c>
      <c r="H213" s="6">
        <v>0</v>
      </c>
      <c r="I213" s="6">
        <v>0</v>
      </c>
      <c r="J213" s="6">
        <f t="shared" si="28"/>
        <v>400</v>
      </c>
      <c r="K213" s="6">
        <v>0</v>
      </c>
      <c r="L213" s="128">
        <v>0</v>
      </c>
      <c r="M213" s="128">
        <f t="shared" si="27"/>
        <v>400</v>
      </c>
      <c r="N213" s="128">
        <v>0</v>
      </c>
      <c r="O213" s="128">
        <v>0</v>
      </c>
      <c r="P213" s="128">
        <v>0</v>
      </c>
      <c r="Q213" s="96">
        <f t="shared" si="29"/>
        <v>400</v>
      </c>
    </row>
    <row r="214" spans="1:17" ht="14.95" customHeight="1" x14ac:dyDescent="0.25">
      <c r="A214" s="7" t="s">
        <v>87</v>
      </c>
      <c r="B214" s="126" t="s">
        <v>228</v>
      </c>
      <c r="C214" s="8">
        <v>149.5</v>
      </c>
      <c r="D214" s="8">
        <v>0</v>
      </c>
      <c r="E214" s="8">
        <v>0</v>
      </c>
      <c r="F214" s="8">
        <v>0</v>
      </c>
      <c r="G214" s="8">
        <f t="shared" si="24"/>
        <v>149.5</v>
      </c>
      <c r="H214" s="8">
        <v>0</v>
      </c>
      <c r="I214" s="8">
        <v>0</v>
      </c>
      <c r="J214" s="8">
        <f t="shared" si="28"/>
        <v>149.5</v>
      </c>
      <c r="K214" s="8">
        <v>0</v>
      </c>
      <c r="L214" s="129">
        <v>0</v>
      </c>
      <c r="M214" s="129">
        <f t="shared" si="27"/>
        <v>149.5</v>
      </c>
      <c r="N214" s="8">
        <v>0</v>
      </c>
      <c r="O214" s="8">
        <v>0</v>
      </c>
      <c r="P214" s="8">
        <v>0</v>
      </c>
      <c r="Q214" s="99">
        <f t="shared" si="29"/>
        <v>149.5</v>
      </c>
    </row>
    <row r="215" spans="1:17" ht="14.95" customHeight="1" x14ac:dyDescent="0.25">
      <c r="A215" s="7" t="s">
        <v>88</v>
      </c>
      <c r="B215" s="33" t="s">
        <v>228</v>
      </c>
      <c r="C215" s="8">
        <v>1350</v>
      </c>
      <c r="D215" s="8">
        <v>0</v>
      </c>
      <c r="E215" s="8">
        <v>0</v>
      </c>
      <c r="F215" s="8">
        <v>0</v>
      </c>
      <c r="G215" s="8">
        <f t="shared" si="24"/>
        <v>1350</v>
      </c>
      <c r="H215" s="8">
        <v>0</v>
      </c>
      <c r="I215" s="8">
        <v>0</v>
      </c>
      <c r="J215" s="8">
        <f t="shared" si="28"/>
        <v>1350</v>
      </c>
      <c r="K215" s="8">
        <v>0</v>
      </c>
      <c r="L215" s="8">
        <v>0</v>
      </c>
      <c r="M215" s="8">
        <f t="shared" si="27"/>
        <v>1350</v>
      </c>
      <c r="N215" s="8">
        <v>0</v>
      </c>
      <c r="O215" s="8">
        <v>0</v>
      </c>
      <c r="P215" s="8">
        <v>0</v>
      </c>
      <c r="Q215" s="99">
        <f t="shared" si="29"/>
        <v>1350</v>
      </c>
    </row>
    <row r="216" spans="1:17" ht="14.95" customHeight="1" x14ac:dyDescent="0.25">
      <c r="A216" s="7" t="s">
        <v>89</v>
      </c>
      <c r="B216" s="33" t="s">
        <v>228</v>
      </c>
      <c r="C216" s="8">
        <v>1900</v>
      </c>
      <c r="D216" s="8">
        <v>0</v>
      </c>
      <c r="E216" s="8">
        <v>0</v>
      </c>
      <c r="F216" s="8">
        <v>0</v>
      </c>
      <c r="G216" s="8">
        <f t="shared" si="24"/>
        <v>1900</v>
      </c>
      <c r="H216" s="8">
        <v>0</v>
      </c>
      <c r="I216" s="8">
        <v>0</v>
      </c>
      <c r="J216" s="8">
        <f t="shared" si="28"/>
        <v>1900</v>
      </c>
      <c r="K216" s="8">
        <v>0</v>
      </c>
      <c r="L216" s="8">
        <v>0</v>
      </c>
      <c r="M216" s="8">
        <f t="shared" si="27"/>
        <v>1900</v>
      </c>
      <c r="N216" s="8">
        <v>0</v>
      </c>
      <c r="O216" s="8">
        <v>0</v>
      </c>
      <c r="P216" s="8">
        <v>0</v>
      </c>
      <c r="Q216" s="99">
        <f t="shared" si="29"/>
        <v>1900</v>
      </c>
    </row>
    <row r="217" spans="1:17" ht="25.15" customHeight="1" x14ac:dyDescent="0.25">
      <c r="A217" s="7" t="s">
        <v>90</v>
      </c>
      <c r="B217" s="33" t="s">
        <v>228</v>
      </c>
      <c r="C217" s="8">
        <v>1750</v>
      </c>
      <c r="D217" s="8">
        <v>0</v>
      </c>
      <c r="E217" s="8">
        <v>0</v>
      </c>
      <c r="F217" s="8">
        <v>0</v>
      </c>
      <c r="G217" s="8">
        <f t="shared" si="24"/>
        <v>1750</v>
      </c>
      <c r="H217" s="8">
        <v>0</v>
      </c>
      <c r="I217" s="8">
        <v>0</v>
      </c>
      <c r="J217" s="8">
        <f t="shared" si="28"/>
        <v>1750</v>
      </c>
      <c r="K217" s="8">
        <v>0</v>
      </c>
      <c r="L217" s="8">
        <v>0</v>
      </c>
      <c r="M217" s="8">
        <f t="shared" si="27"/>
        <v>1750</v>
      </c>
      <c r="N217" s="8">
        <v>0</v>
      </c>
      <c r="O217" s="8">
        <v>0</v>
      </c>
      <c r="P217" s="8">
        <v>0</v>
      </c>
      <c r="Q217" s="99">
        <f t="shared" si="29"/>
        <v>1750</v>
      </c>
    </row>
    <row r="218" spans="1:17" ht="27.7" customHeight="1" x14ac:dyDescent="0.25">
      <c r="A218" s="17" t="s">
        <v>253</v>
      </c>
      <c r="B218" s="33" t="s">
        <v>228</v>
      </c>
      <c r="C218" s="8">
        <v>420</v>
      </c>
      <c r="D218" s="52">
        <v>0</v>
      </c>
      <c r="E218" s="52">
        <v>0</v>
      </c>
      <c r="F218" s="52">
        <v>0</v>
      </c>
      <c r="G218" s="8">
        <f t="shared" si="24"/>
        <v>420</v>
      </c>
      <c r="H218" s="8">
        <v>0</v>
      </c>
      <c r="I218" s="8">
        <v>0</v>
      </c>
      <c r="J218" s="8">
        <f t="shared" si="28"/>
        <v>420</v>
      </c>
      <c r="K218" s="8">
        <v>0</v>
      </c>
      <c r="L218" s="8">
        <v>0</v>
      </c>
      <c r="M218" s="8">
        <f t="shared" si="27"/>
        <v>420</v>
      </c>
      <c r="N218" s="8">
        <v>0</v>
      </c>
      <c r="O218" s="8">
        <v>0</v>
      </c>
      <c r="P218" s="8">
        <v>0</v>
      </c>
      <c r="Q218" s="99">
        <f t="shared" si="29"/>
        <v>420</v>
      </c>
    </row>
    <row r="219" spans="1:17" ht="14.95" customHeight="1" x14ac:dyDescent="0.25">
      <c r="A219" s="7" t="s">
        <v>231</v>
      </c>
      <c r="B219" s="33" t="s">
        <v>228</v>
      </c>
      <c r="C219" s="8">
        <v>100</v>
      </c>
      <c r="D219" s="52">
        <v>0</v>
      </c>
      <c r="E219" s="52">
        <v>0</v>
      </c>
      <c r="F219" s="52">
        <v>0</v>
      </c>
      <c r="G219" s="8">
        <f t="shared" si="24"/>
        <v>100</v>
      </c>
      <c r="H219" s="8">
        <v>0</v>
      </c>
      <c r="I219" s="8">
        <v>0</v>
      </c>
      <c r="J219" s="8">
        <f t="shared" si="28"/>
        <v>100</v>
      </c>
      <c r="K219" s="8">
        <v>0</v>
      </c>
      <c r="L219" s="8">
        <v>0</v>
      </c>
      <c r="M219" s="8">
        <f t="shared" si="27"/>
        <v>100</v>
      </c>
      <c r="N219" s="8">
        <v>0</v>
      </c>
      <c r="O219" s="8">
        <v>0</v>
      </c>
      <c r="P219" s="8">
        <v>0</v>
      </c>
      <c r="Q219" s="99">
        <f t="shared" si="29"/>
        <v>100</v>
      </c>
    </row>
    <row r="220" spans="1:17" ht="23.1" customHeight="1" x14ac:dyDescent="0.25">
      <c r="A220" s="17" t="s">
        <v>233</v>
      </c>
      <c r="B220" s="33" t="s">
        <v>228</v>
      </c>
      <c r="C220" s="8">
        <v>560</v>
      </c>
      <c r="D220" s="52">
        <v>0</v>
      </c>
      <c r="E220" s="52">
        <v>0</v>
      </c>
      <c r="F220" s="52">
        <v>0</v>
      </c>
      <c r="G220" s="8">
        <f t="shared" si="24"/>
        <v>560</v>
      </c>
      <c r="H220" s="8">
        <v>0</v>
      </c>
      <c r="I220" s="8">
        <v>0</v>
      </c>
      <c r="J220" s="8">
        <f t="shared" si="28"/>
        <v>560</v>
      </c>
      <c r="K220" s="8">
        <v>0</v>
      </c>
      <c r="L220" s="8">
        <v>0</v>
      </c>
      <c r="M220" s="8">
        <f t="shared" si="27"/>
        <v>560</v>
      </c>
      <c r="N220" s="8">
        <v>0</v>
      </c>
      <c r="O220" s="8">
        <v>0</v>
      </c>
      <c r="P220" s="8">
        <v>0</v>
      </c>
      <c r="Q220" s="99">
        <f t="shared" si="29"/>
        <v>560</v>
      </c>
    </row>
    <row r="221" spans="1:17" ht="25.5" customHeight="1" x14ac:dyDescent="0.25">
      <c r="A221" s="17" t="s">
        <v>234</v>
      </c>
      <c r="B221" s="33" t="s">
        <v>228</v>
      </c>
      <c r="C221" s="8">
        <v>140</v>
      </c>
      <c r="D221" s="52">
        <v>0</v>
      </c>
      <c r="E221" s="52">
        <v>0</v>
      </c>
      <c r="F221" s="52">
        <v>0</v>
      </c>
      <c r="G221" s="8">
        <f t="shared" si="24"/>
        <v>140</v>
      </c>
      <c r="H221" s="8">
        <v>0</v>
      </c>
      <c r="I221" s="8">
        <v>0</v>
      </c>
      <c r="J221" s="8">
        <f t="shared" si="28"/>
        <v>140</v>
      </c>
      <c r="K221" s="8">
        <v>0</v>
      </c>
      <c r="L221" s="8">
        <v>0</v>
      </c>
      <c r="M221" s="8">
        <f t="shared" si="27"/>
        <v>140</v>
      </c>
      <c r="N221" s="8">
        <v>0</v>
      </c>
      <c r="O221" s="8">
        <v>0</v>
      </c>
      <c r="P221" s="8">
        <v>0</v>
      </c>
      <c r="Q221" s="99">
        <f t="shared" si="29"/>
        <v>140</v>
      </c>
    </row>
    <row r="222" spans="1:17" ht="14.95" customHeight="1" x14ac:dyDescent="0.25">
      <c r="A222" s="7" t="s">
        <v>91</v>
      </c>
      <c r="B222" s="33" t="s">
        <v>228</v>
      </c>
      <c r="C222" s="8">
        <v>50</v>
      </c>
      <c r="D222" s="8">
        <v>0</v>
      </c>
      <c r="E222" s="8">
        <v>0</v>
      </c>
      <c r="F222" s="8">
        <v>0</v>
      </c>
      <c r="G222" s="8">
        <f t="shared" si="24"/>
        <v>50</v>
      </c>
      <c r="H222" s="8">
        <v>0</v>
      </c>
      <c r="I222" s="8">
        <v>0</v>
      </c>
      <c r="J222" s="8">
        <f t="shared" si="28"/>
        <v>50</v>
      </c>
      <c r="K222" s="8">
        <v>0</v>
      </c>
      <c r="L222" s="8">
        <v>0</v>
      </c>
      <c r="M222" s="8">
        <f t="shared" si="27"/>
        <v>50</v>
      </c>
      <c r="N222" s="8">
        <v>0</v>
      </c>
      <c r="O222" s="8">
        <v>0</v>
      </c>
      <c r="P222" s="8">
        <v>0</v>
      </c>
      <c r="Q222" s="99">
        <f t="shared" si="29"/>
        <v>50</v>
      </c>
    </row>
    <row r="223" spans="1:17" ht="26.35" customHeight="1" x14ac:dyDescent="0.25">
      <c r="A223" s="7" t="s">
        <v>92</v>
      </c>
      <c r="B223" s="33" t="s">
        <v>228</v>
      </c>
      <c r="C223" s="8">
        <v>2000</v>
      </c>
      <c r="D223" s="8">
        <v>0</v>
      </c>
      <c r="E223" s="8">
        <v>0</v>
      </c>
      <c r="F223" s="8">
        <v>0</v>
      </c>
      <c r="G223" s="8">
        <f t="shared" si="24"/>
        <v>2000</v>
      </c>
      <c r="H223" s="8">
        <v>0</v>
      </c>
      <c r="I223" s="8">
        <v>0</v>
      </c>
      <c r="J223" s="8">
        <f t="shared" si="28"/>
        <v>2000</v>
      </c>
      <c r="K223" s="8">
        <v>0</v>
      </c>
      <c r="L223" s="8">
        <v>0</v>
      </c>
      <c r="M223" s="8">
        <f t="shared" si="27"/>
        <v>2000</v>
      </c>
      <c r="N223" s="8">
        <v>0</v>
      </c>
      <c r="O223" s="8">
        <v>0</v>
      </c>
      <c r="P223" s="8">
        <v>0</v>
      </c>
      <c r="Q223" s="99">
        <f t="shared" si="29"/>
        <v>2000</v>
      </c>
    </row>
    <row r="224" spans="1:17" ht="14.95" customHeight="1" x14ac:dyDescent="0.25">
      <c r="A224" s="7" t="s">
        <v>232</v>
      </c>
      <c r="B224" s="33" t="s">
        <v>228</v>
      </c>
      <c r="C224" s="8">
        <v>1000</v>
      </c>
      <c r="D224" s="52">
        <v>0</v>
      </c>
      <c r="E224" s="52">
        <v>0</v>
      </c>
      <c r="F224" s="52">
        <v>0</v>
      </c>
      <c r="G224" s="8">
        <f t="shared" si="24"/>
        <v>1000</v>
      </c>
      <c r="H224" s="8">
        <v>0</v>
      </c>
      <c r="I224" s="8">
        <v>0</v>
      </c>
      <c r="J224" s="8">
        <f t="shared" si="28"/>
        <v>1000</v>
      </c>
      <c r="K224" s="8">
        <v>0</v>
      </c>
      <c r="L224" s="8">
        <v>0</v>
      </c>
      <c r="M224" s="8">
        <f t="shared" si="27"/>
        <v>1000</v>
      </c>
      <c r="N224" s="8">
        <v>0</v>
      </c>
      <c r="O224" s="8">
        <v>0</v>
      </c>
      <c r="P224" s="8">
        <v>0</v>
      </c>
      <c r="Q224" s="99">
        <f t="shared" si="29"/>
        <v>1000</v>
      </c>
    </row>
    <row r="225" spans="1:17" ht="14.95" customHeight="1" x14ac:dyDescent="0.25">
      <c r="A225" s="7" t="s">
        <v>93</v>
      </c>
      <c r="B225" s="33" t="s">
        <v>228</v>
      </c>
      <c r="C225" s="8">
        <v>2400</v>
      </c>
      <c r="D225" s="8">
        <v>0</v>
      </c>
      <c r="E225" s="8">
        <v>0</v>
      </c>
      <c r="F225" s="8">
        <v>0</v>
      </c>
      <c r="G225" s="8">
        <f t="shared" si="24"/>
        <v>2400</v>
      </c>
      <c r="H225" s="8">
        <v>0</v>
      </c>
      <c r="I225" s="8">
        <v>0</v>
      </c>
      <c r="J225" s="8">
        <f t="shared" si="28"/>
        <v>2400</v>
      </c>
      <c r="K225" s="8">
        <v>0</v>
      </c>
      <c r="L225" s="8">
        <v>0</v>
      </c>
      <c r="M225" s="8">
        <f t="shared" si="27"/>
        <v>2400</v>
      </c>
      <c r="N225" s="8">
        <v>0</v>
      </c>
      <c r="O225" s="8">
        <v>0</v>
      </c>
      <c r="P225" s="8">
        <v>0</v>
      </c>
      <c r="Q225" s="99">
        <f t="shared" si="29"/>
        <v>2400</v>
      </c>
    </row>
    <row r="226" spans="1:17" ht="22.45" customHeight="1" x14ac:dyDescent="0.25">
      <c r="A226" s="38" t="s">
        <v>103</v>
      </c>
      <c r="B226" s="33" t="s">
        <v>228</v>
      </c>
      <c r="C226" s="8">
        <v>2400</v>
      </c>
      <c r="D226" s="8">
        <v>0</v>
      </c>
      <c r="E226" s="8">
        <v>0</v>
      </c>
      <c r="F226" s="8">
        <v>0</v>
      </c>
      <c r="G226" s="8">
        <f t="shared" si="24"/>
        <v>2400</v>
      </c>
      <c r="H226" s="8">
        <v>0</v>
      </c>
      <c r="I226" s="8">
        <v>0</v>
      </c>
      <c r="J226" s="8">
        <f t="shared" si="28"/>
        <v>2400</v>
      </c>
      <c r="K226" s="8">
        <v>0</v>
      </c>
      <c r="L226" s="8">
        <v>0</v>
      </c>
      <c r="M226" s="8">
        <f t="shared" si="27"/>
        <v>2400</v>
      </c>
      <c r="N226" s="8">
        <v>0</v>
      </c>
      <c r="O226" s="8">
        <v>0</v>
      </c>
      <c r="P226" s="8">
        <v>0</v>
      </c>
      <c r="Q226" s="99">
        <f t="shared" si="29"/>
        <v>2400</v>
      </c>
    </row>
    <row r="227" spans="1:17" ht="26.5" customHeight="1" x14ac:dyDescent="0.25">
      <c r="A227" s="7" t="s">
        <v>94</v>
      </c>
      <c r="B227" s="33" t="s">
        <v>228</v>
      </c>
      <c r="C227" s="8">
        <v>85</v>
      </c>
      <c r="D227" s="8">
        <v>0</v>
      </c>
      <c r="E227" s="8">
        <v>0</v>
      </c>
      <c r="F227" s="8">
        <v>0</v>
      </c>
      <c r="G227" s="8">
        <f t="shared" si="24"/>
        <v>85</v>
      </c>
      <c r="H227" s="8">
        <v>0</v>
      </c>
      <c r="I227" s="8">
        <v>0</v>
      </c>
      <c r="J227" s="8">
        <f t="shared" si="28"/>
        <v>85</v>
      </c>
      <c r="K227" s="8">
        <v>0</v>
      </c>
      <c r="L227" s="8">
        <v>0</v>
      </c>
      <c r="M227" s="8">
        <f t="shared" si="27"/>
        <v>85</v>
      </c>
      <c r="N227" s="8">
        <v>0</v>
      </c>
      <c r="O227" s="8">
        <v>0</v>
      </c>
      <c r="P227" s="8">
        <v>0</v>
      </c>
      <c r="Q227" s="99">
        <f t="shared" si="29"/>
        <v>85</v>
      </c>
    </row>
    <row r="228" spans="1:17" ht="14.95" customHeight="1" x14ac:dyDescent="0.25">
      <c r="A228" s="7" t="s">
        <v>95</v>
      </c>
      <c r="B228" s="33" t="s">
        <v>228</v>
      </c>
      <c r="C228" s="8">
        <v>80</v>
      </c>
      <c r="D228" s="8">
        <v>0</v>
      </c>
      <c r="E228" s="8">
        <v>0</v>
      </c>
      <c r="F228" s="8">
        <v>0</v>
      </c>
      <c r="G228" s="8">
        <f t="shared" si="24"/>
        <v>80</v>
      </c>
      <c r="H228" s="8">
        <v>0</v>
      </c>
      <c r="I228" s="8">
        <v>0</v>
      </c>
      <c r="J228" s="8">
        <f t="shared" si="28"/>
        <v>80</v>
      </c>
      <c r="K228" s="8">
        <v>0</v>
      </c>
      <c r="L228" s="8">
        <v>0</v>
      </c>
      <c r="M228" s="8">
        <f t="shared" si="27"/>
        <v>80</v>
      </c>
      <c r="N228" s="8">
        <v>0</v>
      </c>
      <c r="O228" s="8">
        <v>0</v>
      </c>
      <c r="P228" s="8">
        <v>0</v>
      </c>
      <c r="Q228" s="99">
        <f t="shared" si="29"/>
        <v>80</v>
      </c>
    </row>
    <row r="229" spans="1:17" ht="14.95" customHeight="1" x14ac:dyDescent="0.25">
      <c r="A229" s="7" t="s">
        <v>96</v>
      </c>
      <c r="B229" s="33" t="s">
        <v>228</v>
      </c>
      <c r="C229" s="8">
        <v>2400</v>
      </c>
      <c r="D229" s="8">
        <v>0</v>
      </c>
      <c r="E229" s="8">
        <v>0</v>
      </c>
      <c r="F229" s="8">
        <v>0</v>
      </c>
      <c r="G229" s="8">
        <f t="shared" si="24"/>
        <v>2400</v>
      </c>
      <c r="H229" s="8">
        <v>0</v>
      </c>
      <c r="I229" s="8">
        <v>0</v>
      </c>
      <c r="J229" s="8">
        <f t="shared" si="28"/>
        <v>2400</v>
      </c>
      <c r="K229" s="8">
        <v>0</v>
      </c>
      <c r="L229" s="8">
        <v>0</v>
      </c>
      <c r="M229" s="8">
        <f t="shared" si="27"/>
        <v>2400</v>
      </c>
      <c r="N229" s="8">
        <v>0</v>
      </c>
      <c r="O229" s="8">
        <v>0</v>
      </c>
      <c r="P229" s="8">
        <v>0</v>
      </c>
      <c r="Q229" s="99">
        <f t="shared" si="29"/>
        <v>2400</v>
      </c>
    </row>
    <row r="230" spans="1:17" ht="27.85" customHeight="1" x14ac:dyDescent="0.25">
      <c r="A230" s="7" t="s">
        <v>97</v>
      </c>
      <c r="B230" s="33" t="s">
        <v>228</v>
      </c>
      <c r="C230" s="8">
        <v>2400</v>
      </c>
      <c r="D230" s="8">
        <v>0</v>
      </c>
      <c r="E230" s="8">
        <v>0</v>
      </c>
      <c r="F230" s="8">
        <v>0</v>
      </c>
      <c r="G230" s="8">
        <f t="shared" si="24"/>
        <v>2400</v>
      </c>
      <c r="H230" s="8">
        <v>0</v>
      </c>
      <c r="I230" s="8">
        <v>0</v>
      </c>
      <c r="J230" s="8">
        <f t="shared" si="28"/>
        <v>2400</v>
      </c>
      <c r="K230" s="8">
        <v>0</v>
      </c>
      <c r="L230" s="8">
        <v>0</v>
      </c>
      <c r="M230" s="8">
        <f t="shared" si="27"/>
        <v>2400</v>
      </c>
      <c r="N230" s="8">
        <v>0</v>
      </c>
      <c r="O230" s="8">
        <v>0</v>
      </c>
      <c r="P230" s="8">
        <v>0</v>
      </c>
      <c r="Q230" s="99">
        <f t="shared" si="29"/>
        <v>2400</v>
      </c>
    </row>
    <row r="231" spans="1:17" ht="24.45" customHeight="1" x14ac:dyDescent="0.25">
      <c r="A231" s="7" t="s">
        <v>268</v>
      </c>
      <c r="B231" s="33" t="s">
        <v>228</v>
      </c>
      <c r="C231" s="8">
        <v>0</v>
      </c>
      <c r="D231" s="8">
        <f>40</f>
        <v>40</v>
      </c>
      <c r="E231" s="8">
        <v>0</v>
      </c>
      <c r="F231" s="8">
        <v>0</v>
      </c>
      <c r="G231" s="8">
        <f t="shared" si="24"/>
        <v>40</v>
      </c>
      <c r="H231" s="8">
        <v>0</v>
      </c>
      <c r="I231" s="8">
        <v>0</v>
      </c>
      <c r="J231" s="8">
        <f t="shared" si="28"/>
        <v>40</v>
      </c>
      <c r="K231" s="8">
        <v>0</v>
      </c>
      <c r="L231" s="8">
        <v>0</v>
      </c>
      <c r="M231" s="8">
        <f t="shared" si="27"/>
        <v>40</v>
      </c>
      <c r="N231" s="8">
        <v>0</v>
      </c>
      <c r="O231" s="8">
        <v>0</v>
      </c>
      <c r="P231" s="8">
        <v>0</v>
      </c>
      <c r="Q231" s="99">
        <f t="shared" si="29"/>
        <v>40</v>
      </c>
    </row>
    <row r="232" spans="1:17" ht="14.95" customHeight="1" x14ac:dyDescent="0.25">
      <c r="A232" s="7" t="s">
        <v>262</v>
      </c>
      <c r="B232" s="33" t="s">
        <v>228</v>
      </c>
      <c r="C232" s="8">
        <v>0</v>
      </c>
      <c r="D232" s="8">
        <f>16</f>
        <v>16</v>
      </c>
      <c r="E232" s="8">
        <v>0</v>
      </c>
      <c r="F232" s="8">
        <v>0</v>
      </c>
      <c r="G232" s="8">
        <f t="shared" si="24"/>
        <v>16</v>
      </c>
      <c r="H232" s="8">
        <v>0</v>
      </c>
      <c r="I232" s="8">
        <v>0</v>
      </c>
      <c r="J232" s="8">
        <f t="shared" si="28"/>
        <v>16</v>
      </c>
      <c r="K232" s="8">
        <v>0</v>
      </c>
      <c r="L232" s="8">
        <v>0</v>
      </c>
      <c r="M232" s="8">
        <f t="shared" si="27"/>
        <v>16</v>
      </c>
      <c r="N232" s="8">
        <v>0</v>
      </c>
      <c r="O232" s="8">
        <v>0</v>
      </c>
      <c r="P232" s="8">
        <v>0</v>
      </c>
      <c r="Q232" s="99">
        <f t="shared" si="29"/>
        <v>16</v>
      </c>
    </row>
    <row r="233" spans="1:17" ht="14.95" customHeight="1" x14ac:dyDescent="0.25">
      <c r="A233" s="7" t="s">
        <v>263</v>
      </c>
      <c r="B233" s="33" t="s">
        <v>228</v>
      </c>
      <c r="C233" s="8">
        <v>0</v>
      </c>
      <c r="D233" s="8">
        <f>20</f>
        <v>20</v>
      </c>
      <c r="E233" s="8">
        <v>0</v>
      </c>
      <c r="F233" s="8">
        <v>0</v>
      </c>
      <c r="G233" s="8">
        <f t="shared" si="24"/>
        <v>20</v>
      </c>
      <c r="H233" s="8">
        <v>0</v>
      </c>
      <c r="I233" s="8">
        <v>0</v>
      </c>
      <c r="J233" s="8">
        <f t="shared" si="28"/>
        <v>20</v>
      </c>
      <c r="K233" s="8">
        <v>0</v>
      </c>
      <c r="L233" s="8">
        <v>0</v>
      </c>
      <c r="M233" s="8">
        <f t="shared" si="27"/>
        <v>20</v>
      </c>
      <c r="N233" s="8">
        <v>0</v>
      </c>
      <c r="O233" s="8">
        <v>0</v>
      </c>
      <c r="P233" s="8">
        <v>0</v>
      </c>
      <c r="Q233" s="99">
        <f t="shared" si="29"/>
        <v>20</v>
      </c>
    </row>
    <row r="234" spans="1:17" ht="14.95" customHeight="1" x14ac:dyDescent="0.25">
      <c r="A234" s="7" t="s">
        <v>264</v>
      </c>
      <c r="B234" s="33" t="s">
        <v>228</v>
      </c>
      <c r="C234" s="8">
        <v>0</v>
      </c>
      <c r="D234" s="8">
        <f>5</f>
        <v>5</v>
      </c>
      <c r="E234" s="8">
        <v>0</v>
      </c>
      <c r="F234" s="8">
        <v>0</v>
      </c>
      <c r="G234" s="8">
        <f t="shared" ref="G234:G321" si="30">SUM(C234:F234)</f>
        <v>5</v>
      </c>
      <c r="H234" s="8">
        <v>0</v>
      </c>
      <c r="I234" s="8">
        <v>0</v>
      </c>
      <c r="J234" s="8">
        <f>SUM(G234:I234)</f>
        <v>5</v>
      </c>
      <c r="K234" s="8">
        <v>0</v>
      </c>
      <c r="L234" s="8">
        <v>0</v>
      </c>
      <c r="M234" s="8">
        <f t="shared" si="27"/>
        <v>5</v>
      </c>
      <c r="N234" s="8">
        <v>0</v>
      </c>
      <c r="O234" s="8">
        <v>0</v>
      </c>
      <c r="P234" s="8">
        <v>0</v>
      </c>
      <c r="Q234" s="99">
        <f t="shared" si="29"/>
        <v>5</v>
      </c>
    </row>
    <row r="235" spans="1:17" ht="14.95" customHeight="1" x14ac:dyDescent="0.25">
      <c r="A235" s="7" t="s">
        <v>375</v>
      </c>
      <c r="B235" s="33" t="s">
        <v>376</v>
      </c>
      <c r="C235" s="8">
        <v>0</v>
      </c>
      <c r="D235" s="8"/>
      <c r="E235" s="8"/>
      <c r="F235" s="8"/>
      <c r="G235" s="8">
        <v>0</v>
      </c>
      <c r="H235" s="8">
        <v>0</v>
      </c>
      <c r="I235" s="8">
        <f>259.69</f>
        <v>259.69</v>
      </c>
      <c r="J235" s="8">
        <f>SUM(G235:I235)</f>
        <v>259.69</v>
      </c>
      <c r="K235" s="8">
        <v>0</v>
      </c>
      <c r="L235" s="8">
        <v>0</v>
      </c>
      <c r="M235" s="8">
        <f t="shared" si="27"/>
        <v>259.69</v>
      </c>
      <c r="N235" s="8">
        <v>0</v>
      </c>
      <c r="O235" s="8">
        <v>0</v>
      </c>
      <c r="P235" s="8">
        <v>0</v>
      </c>
      <c r="Q235" s="99">
        <f t="shared" si="29"/>
        <v>259.69</v>
      </c>
    </row>
    <row r="236" spans="1:17" ht="14.95" customHeight="1" x14ac:dyDescent="0.25">
      <c r="A236" s="7" t="s">
        <v>415</v>
      </c>
      <c r="B236" s="33" t="s">
        <v>416</v>
      </c>
      <c r="C236" s="8">
        <v>0</v>
      </c>
      <c r="D236" s="8"/>
      <c r="E236" s="8"/>
      <c r="F236" s="8"/>
      <c r="G236" s="8"/>
      <c r="H236" s="8"/>
      <c r="I236" s="8"/>
      <c r="J236" s="8">
        <f>231.44</f>
        <v>231.44</v>
      </c>
      <c r="K236" s="8">
        <v>0</v>
      </c>
      <c r="L236" s="8">
        <v>0</v>
      </c>
      <c r="M236" s="8">
        <f t="shared" si="27"/>
        <v>231.44</v>
      </c>
      <c r="N236" s="8">
        <v>0</v>
      </c>
      <c r="O236" s="8">
        <v>0</v>
      </c>
      <c r="P236" s="8">
        <v>0</v>
      </c>
      <c r="Q236" s="99">
        <f t="shared" si="29"/>
        <v>231.44</v>
      </c>
    </row>
    <row r="237" spans="1:17" ht="29.25" customHeight="1" x14ac:dyDescent="0.25">
      <c r="A237" s="7" t="s">
        <v>389</v>
      </c>
      <c r="B237" s="33" t="s">
        <v>228</v>
      </c>
      <c r="C237" s="8">
        <v>0</v>
      </c>
      <c r="D237" s="8"/>
      <c r="E237" s="8"/>
      <c r="F237" s="8"/>
      <c r="G237" s="8">
        <v>0</v>
      </c>
      <c r="H237" s="8">
        <v>0</v>
      </c>
      <c r="I237" s="8">
        <f>14</f>
        <v>14</v>
      </c>
      <c r="J237" s="8">
        <f>SUM(G237:I237)</f>
        <v>14</v>
      </c>
      <c r="K237" s="8">
        <v>0</v>
      </c>
      <c r="L237" s="8">
        <v>0</v>
      </c>
      <c r="M237" s="8">
        <f t="shared" si="27"/>
        <v>14</v>
      </c>
      <c r="N237" s="8">
        <v>0</v>
      </c>
      <c r="O237" s="8">
        <v>0</v>
      </c>
      <c r="P237" s="8">
        <v>0</v>
      </c>
      <c r="Q237" s="99">
        <f t="shared" si="29"/>
        <v>14</v>
      </c>
    </row>
    <row r="238" spans="1:17" ht="14.95" customHeight="1" x14ac:dyDescent="0.25">
      <c r="A238" s="7" t="s">
        <v>378</v>
      </c>
      <c r="B238" s="33" t="s">
        <v>228</v>
      </c>
      <c r="C238" s="8">
        <v>0</v>
      </c>
      <c r="D238" s="8"/>
      <c r="E238" s="8"/>
      <c r="F238" s="8"/>
      <c r="G238" s="8">
        <v>0</v>
      </c>
      <c r="H238" s="8">
        <v>0</v>
      </c>
      <c r="I238" s="8">
        <f>60</f>
        <v>60</v>
      </c>
      <c r="J238" s="8">
        <f>SUM(G238:I238)</f>
        <v>60</v>
      </c>
      <c r="K238" s="8">
        <v>0</v>
      </c>
      <c r="L238" s="8">
        <v>0</v>
      </c>
      <c r="M238" s="8">
        <f t="shared" si="27"/>
        <v>60</v>
      </c>
      <c r="N238" s="8">
        <v>0</v>
      </c>
      <c r="O238" s="8">
        <v>0</v>
      </c>
      <c r="P238" s="8">
        <v>0</v>
      </c>
      <c r="Q238" s="99">
        <f t="shared" si="29"/>
        <v>60</v>
      </c>
    </row>
    <row r="239" spans="1:17" ht="14.95" customHeight="1" x14ac:dyDescent="0.25">
      <c r="A239" s="7" t="s">
        <v>98</v>
      </c>
      <c r="B239" s="33" t="s">
        <v>228</v>
      </c>
      <c r="C239" s="8">
        <v>500</v>
      </c>
      <c r="D239" s="8">
        <v>0</v>
      </c>
      <c r="E239" s="8">
        <v>0</v>
      </c>
      <c r="F239" s="8">
        <v>0</v>
      </c>
      <c r="G239" s="8">
        <f t="shared" si="30"/>
        <v>500</v>
      </c>
      <c r="H239" s="8">
        <v>0</v>
      </c>
      <c r="I239" s="8">
        <v>0</v>
      </c>
      <c r="J239" s="8">
        <f t="shared" si="28"/>
        <v>500</v>
      </c>
      <c r="K239" s="8">
        <v>0</v>
      </c>
      <c r="L239" s="8">
        <v>0</v>
      </c>
      <c r="M239" s="8">
        <f t="shared" si="27"/>
        <v>500</v>
      </c>
      <c r="N239" s="8">
        <v>0</v>
      </c>
      <c r="O239" s="8">
        <v>0</v>
      </c>
      <c r="P239" s="8">
        <v>0</v>
      </c>
      <c r="Q239" s="99">
        <f t="shared" si="29"/>
        <v>500</v>
      </c>
    </row>
    <row r="240" spans="1:17" ht="14.95" customHeight="1" x14ac:dyDescent="0.25">
      <c r="A240" s="7" t="s">
        <v>99</v>
      </c>
      <c r="B240" s="33" t="s">
        <v>228</v>
      </c>
      <c r="C240" s="8">
        <v>250</v>
      </c>
      <c r="D240" s="8">
        <v>0</v>
      </c>
      <c r="E240" s="8">
        <v>0</v>
      </c>
      <c r="F240" s="8">
        <v>0</v>
      </c>
      <c r="G240" s="8">
        <f t="shared" si="30"/>
        <v>250</v>
      </c>
      <c r="H240" s="8">
        <v>0</v>
      </c>
      <c r="I240" s="8">
        <v>0</v>
      </c>
      <c r="J240" s="8">
        <f t="shared" si="28"/>
        <v>250</v>
      </c>
      <c r="K240" s="8">
        <v>0</v>
      </c>
      <c r="L240" s="8">
        <v>0</v>
      </c>
      <c r="M240" s="8">
        <f t="shared" si="27"/>
        <v>250</v>
      </c>
      <c r="N240" s="8">
        <v>0</v>
      </c>
      <c r="O240" s="8">
        <v>0</v>
      </c>
      <c r="P240" s="8">
        <v>0</v>
      </c>
      <c r="Q240" s="99">
        <f t="shared" si="29"/>
        <v>250</v>
      </c>
    </row>
    <row r="241" spans="1:18" ht="14.95" customHeight="1" x14ac:dyDescent="0.25">
      <c r="A241" s="7" t="s">
        <v>381</v>
      </c>
      <c r="B241" s="33" t="s">
        <v>228</v>
      </c>
      <c r="C241" s="8">
        <v>0</v>
      </c>
      <c r="D241" s="8"/>
      <c r="E241" s="8"/>
      <c r="F241" s="8"/>
      <c r="G241" s="8">
        <v>0</v>
      </c>
      <c r="H241" s="8">
        <v>0</v>
      </c>
      <c r="I241" s="8">
        <f>50</f>
        <v>50</v>
      </c>
      <c r="J241" s="8">
        <f>SUM(G241:I241)</f>
        <v>50</v>
      </c>
      <c r="K241" s="8">
        <v>0</v>
      </c>
      <c r="L241" s="8">
        <v>0</v>
      </c>
      <c r="M241" s="8">
        <f t="shared" si="27"/>
        <v>50</v>
      </c>
      <c r="N241" s="8">
        <v>0</v>
      </c>
      <c r="O241" s="8">
        <v>0</v>
      </c>
      <c r="P241" s="8">
        <v>0</v>
      </c>
      <c r="Q241" s="99">
        <f t="shared" si="29"/>
        <v>50</v>
      </c>
    </row>
    <row r="242" spans="1:18" ht="23.1" customHeight="1" x14ac:dyDescent="0.25">
      <c r="A242" s="7" t="s">
        <v>379</v>
      </c>
      <c r="B242" s="33" t="s">
        <v>228</v>
      </c>
      <c r="C242" s="8">
        <v>0</v>
      </c>
      <c r="D242" s="8"/>
      <c r="E242" s="8"/>
      <c r="F242" s="8"/>
      <c r="G242" s="8">
        <v>0</v>
      </c>
      <c r="H242" s="8">
        <v>0</v>
      </c>
      <c r="I242" s="8">
        <f>50</f>
        <v>50</v>
      </c>
      <c r="J242" s="8">
        <f>SUM(G242:I242)</f>
        <v>50</v>
      </c>
      <c r="K242" s="8">
        <v>0</v>
      </c>
      <c r="L242" s="8">
        <v>0</v>
      </c>
      <c r="M242" s="8">
        <f t="shared" si="27"/>
        <v>50</v>
      </c>
      <c r="N242" s="8">
        <v>0</v>
      </c>
      <c r="O242" s="8">
        <v>0</v>
      </c>
      <c r="P242" s="8">
        <v>0</v>
      </c>
      <c r="Q242" s="99">
        <f t="shared" si="29"/>
        <v>50</v>
      </c>
    </row>
    <row r="243" spans="1:18" ht="38.049999999999997" customHeight="1" x14ac:dyDescent="0.25">
      <c r="A243" s="7" t="s">
        <v>380</v>
      </c>
      <c r="B243" s="33" t="s">
        <v>228</v>
      </c>
      <c r="C243" s="8">
        <v>0</v>
      </c>
      <c r="D243" s="8"/>
      <c r="E243" s="8"/>
      <c r="F243" s="8"/>
      <c r="G243" s="8">
        <v>0</v>
      </c>
      <c r="H243" s="8">
        <v>0</v>
      </c>
      <c r="I243" s="8">
        <f>158</f>
        <v>158</v>
      </c>
      <c r="J243" s="8">
        <f>SUM(G243:I243)</f>
        <v>158</v>
      </c>
      <c r="K243" s="8">
        <v>0</v>
      </c>
      <c r="L243" s="8">
        <v>0</v>
      </c>
      <c r="M243" s="8">
        <f t="shared" si="27"/>
        <v>158</v>
      </c>
      <c r="N243" s="8">
        <v>0</v>
      </c>
      <c r="O243" s="8">
        <v>0</v>
      </c>
      <c r="P243" s="8">
        <v>0</v>
      </c>
      <c r="Q243" s="99">
        <f t="shared" si="29"/>
        <v>158</v>
      </c>
    </row>
    <row r="244" spans="1:18" ht="27.85" customHeight="1" x14ac:dyDescent="0.25">
      <c r="A244" s="7" t="s">
        <v>446</v>
      </c>
      <c r="B244" s="33" t="s">
        <v>228</v>
      </c>
      <c r="C244" s="8">
        <v>0</v>
      </c>
      <c r="D244" s="8"/>
      <c r="E244" s="8"/>
      <c r="F244" s="8"/>
      <c r="G244" s="8"/>
      <c r="H244" s="8"/>
      <c r="I244" s="8"/>
      <c r="J244" s="8">
        <v>0</v>
      </c>
      <c r="K244" s="8">
        <v>0</v>
      </c>
      <c r="L244" s="8">
        <f>100</f>
        <v>100</v>
      </c>
      <c r="M244" s="8">
        <f>SUM(J244:L244)</f>
        <v>100</v>
      </c>
      <c r="N244" s="8">
        <v>0</v>
      </c>
      <c r="O244" s="8">
        <v>0</v>
      </c>
      <c r="P244" s="8">
        <v>0</v>
      </c>
      <c r="Q244" s="99">
        <f t="shared" si="29"/>
        <v>100</v>
      </c>
    </row>
    <row r="245" spans="1:18" ht="27.2" x14ac:dyDescent="0.25">
      <c r="A245" s="7" t="s">
        <v>267</v>
      </c>
      <c r="B245" s="33" t="s">
        <v>228</v>
      </c>
      <c r="C245" s="8">
        <v>0</v>
      </c>
      <c r="D245" s="8">
        <f>10</f>
        <v>10</v>
      </c>
      <c r="E245" s="8">
        <v>0</v>
      </c>
      <c r="F245" s="8">
        <v>0</v>
      </c>
      <c r="G245" s="8">
        <f t="shared" si="30"/>
        <v>10</v>
      </c>
      <c r="H245" s="8">
        <v>0</v>
      </c>
      <c r="I245" s="8">
        <v>0</v>
      </c>
      <c r="J245" s="8">
        <f t="shared" si="28"/>
        <v>10</v>
      </c>
      <c r="K245" s="8">
        <v>0</v>
      </c>
      <c r="L245" s="8">
        <v>0</v>
      </c>
      <c r="M245" s="8">
        <f t="shared" si="27"/>
        <v>10</v>
      </c>
      <c r="N245" s="8">
        <v>0</v>
      </c>
      <c r="O245" s="8">
        <v>0</v>
      </c>
      <c r="P245" s="8">
        <v>0</v>
      </c>
      <c r="Q245" s="99">
        <f t="shared" si="29"/>
        <v>10</v>
      </c>
    </row>
    <row r="246" spans="1:18" ht="27.7" customHeight="1" x14ac:dyDescent="0.25">
      <c r="A246" s="7" t="s">
        <v>266</v>
      </c>
      <c r="B246" s="33" t="s">
        <v>228</v>
      </c>
      <c r="C246" s="8">
        <v>0</v>
      </c>
      <c r="D246" s="8">
        <f>10</f>
        <v>10</v>
      </c>
      <c r="E246" s="8">
        <v>0</v>
      </c>
      <c r="F246" s="8">
        <v>0</v>
      </c>
      <c r="G246" s="8">
        <f t="shared" si="30"/>
        <v>10</v>
      </c>
      <c r="H246" s="8">
        <v>0</v>
      </c>
      <c r="I246" s="8">
        <v>0</v>
      </c>
      <c r="J246" s="8">
        <f t="shared" si="28"/>
        <v>10</v>
      </c>
      <c r="K246" s="8">
        <v>0</v>
      </c>
      <c r="L246" s="8">
        <v>0</v>
      </c>
      <c r="M246" s="8">
        <f t="shared" si="27"/>
        <v>10</v>
      </c>
      <c r="N246" s="8">
        <v>0</v>
      </c>
      <c r="O246" s="8">
        <v>0</v>
      </c>
      <c r="P246" s="8">
        <v>0</v>
      </c>
      <c r="Q246" s="99">
        <f t="shared" si="29"/>
        <v>10</v>
      </c>
    </row>
    <row r="247" spans="1:18" ht="27.7" customHeight="1" x14ac:dyDescent="0.25">
      <c r="A247" s="7" t="s">
        <v>382</v>
      </c>
      <c r="B247" s="33" t="s">
        <v>228</v>
      </c>
      <c r="C247" s="8">
        <v>0</v>
      </c>
      <c r="D247" s="8"/>
      <c r="E247" s="8"/>
      <c r="F247" s="8"/>
      <c r="G247" s="8">
        <v>0</v>
      </c>
      <c r="H247" s="8">
        <v>0</v>
      </c>
      <c r="I247" s="8">
        <f>50</f>
        <v>50</v>
      </c>
      <c r="J247" s="8">
        <f>SUM(G247:I247)</f>
        <v>50</v>
      </c>
      <c r="K247" s="8">
        <v>0</v>
      </c>
      <c r="L247" s="8">
        <v>0</v>
      </c>
      <c r="M247" s="8">
        <f t="shared" si="27"/>
        <v>50</v>
      </c>
      <c r="N247" s="8">
        <v>0</v>
      </c>
      <c r="O247" s="8">
        <v>0</v>
      </c>
      <c r="P247" s="8">
        <v>0</v>
      </c>
      <c r="Q247" s="99">
        <f t="shared" si="29"/>
        <v>50</v>
      </c>
    </row>
    <row r="248" spans="1:18" ht="16.3" customHeight="1" x14ac:dyDescent="0.25">
      <c r="A248" s="7" t="s">
        <v>421</v>
      </c>
      <c r="B248" s="33" t="s">
        <v>228</v>
      </c>
      <c r="C248" s="8">
        <v>0</v>
      </c>
      <c r="D248" s="8"/>
      <c r="E248" s="8"/>
      <c r="F248" s="8"/>
      <c r="G248" s="8"/>
      <c r="H248" s="8"/>
      <c r="I248" s="8"/>
      <c r="J248" s="8">
        <v>0</v>
      </c>
      <c r="K248" s="8">
        <v>0</v>
      </c>
      <c r="L248" s="8">
        <f>250</f>
        <v>250</v>
      </c>
      <c r="M248" s="8">
        <f>SUM(J248:L248)</f>
        <v>250</v>
      </c>
      <c r="N248" s="8">
        <v>0</v>
      </c>
      <c r="O248" s="8">
        <v>0</v>
      </c>
      <c r="P248" s="8">
        <v>0</v>
      </c>
      <c r="Q248" s="99">
        <f t="shared" si="29"/>
        <v>250</v>
      </c>
    </row>
    <row r="249" spans="1:18" ht="14.95" customHeight="1" x14ac:dyDescent="0.25">
      <c r="A249" s="34" t="s">
        <v>100</v>
      </c>
      <c r="B249" s="33" t="s">
        <v>228</v>
      </c>
      <c r="C249" s="8">
        <v>600</v>
      </c>
      <c r="D249" s="8">
        <v>0</v>
      </c>
      <c r="E249" s="8">
        <v>0</v>
      </c>
      <c r="F249" s="8">
        <v>0</v>
      </c>
      <c r="G249" s="8">
        <f t="shared" si="30"/>
        <v>600</v>
      </c>
      <c r="H249" s="8">
        <v>0</v>
      </c>
      <c r="I249" s="8">
        <v>0</v>
      </c>
      <c r="J249" s="8">
        <f t="shared" si="28"/>
        <v>600</v>
      </c>
      <c r="K249" s="8">
        <v>0</v>
      </c>
      <c r="L249" s="8">
        <v>0</v>
      </c>
      <c r="M249" s="8">
        <f t="shared" si="27"/>
        <v>600</v>
      </c>
      <c r="N249" s="8">
        <v>0</v>
      </c>
      <c r="O249" s="8">
        <v>0</v>
      </c>
      <c r="P249" s="8">
        <v>0</v>
      </c>
      <c r="Q249" s="99">
        <f t="shared" si="29"/>
        <v>600</v>
      </c>
    </row>
    <row r="250" spans="1:18" ht="14.95" customHeight="1" x14ac:dyDescent="0.25">
      <c r="A250" s="34" t="s">
        <v>101</v>
      </c>
      <c r="B250" s="33" t="s">
        <v>228</v>
      </c>
      <c r="C250" s="8">
        <v>50</v>
      </c>
      <c r="D250" s="8">
        <v>0</v>
      </c>
      <c r="E250" s="8">
        <v>0</v>
      </c>
      <c r="F250" s="8">
        <v>0</v>
      </c>
      <c r="G250" s="8">
        <f t="shared" si="30"/>
        <v>50</v>
      </c>
      <c r="H250" s="8">
        <v>0</v>
      </c>
      <c r="I250" s="8">
        <v>0</v>
      </c>
      <c r="J250" s="8">
        <f t="shared" si="28"/>
        <v>50</v>
      </c>
      <c r="K250" s="8">
        <v>0</v>
      </c>
      <c r="L250" s="8">
        <v>0</v>
      </c>
      <c r="M250" s="8">
        <f t="shared" si="27"/>
        <v>50</v>
      </c>
      <c r="N250" s="8">
        <v>0</v>
      </c>
      <c r="O250" s="8">
        <v>0</v>
      </c>
      <c r="P250" s="8">
        <v>0</v>
      </c>
      <c r="Q250" s="99">
        <f t="shared" si="29"/>
        <v>50</v>
      </c>
    </row>
    <row r="251" spans="1:18" ht="14.95" customHeight="1" x14ac:dyDescent="0.25">
      <c r="A251" s="34" t="s">
        <v>265</v>
      </c>
      <c r="B251" s="33" t="s">
        <v>228</v>
      </c>
      <c r="C251" s="8">
        <v>0</v>
      </c>
      <c r="D251" s="8">
        <f>6.5</f>
        <v>6.5</v>
      </c>
      <c r="E251" s="8">
        <v>0</v>
      </c>
      <c r="F251" s="8">
        <v>0</v>
      </c>
      <c r="G251" s="8">
        <f t="shared" si="30"/>
        <v>6.5</v>
      </c>
      <c r="H251" s="8">
        <v>0</v>
      </c>
      <c r="I251" s="8">
        <v>0</v>
      </c>
      <c r="J251" s="8">
        <f t="shared" si="28"/>
        <v>6.5</v>
      </c>
      <c r="K251" s="8">
        <v>0</v>
      </c>
      <c r="L251" s="8">
        <v>0</v>
      </c>
      <c r="M251" s="8">
        <f t="shared" si="27"/>
        <v>6.5</v>
      </c>
      <c r="N251" s="8">
        <v>0</v>
      </c>
      <c r="O251" s="8">
        <v>0</v>
      </c>
      <c r="P251" s="8">
        <v>0</v>
      </c>
      <c r="Q251" s="99">
        <f t="shared" si="29"/>
        <v>6.5</v>
      </c>
    </row>
    <row r="252" spans="1:18" ht="14.95" customHeight="1" x14ac:dyDescent="0.25">
      <c r="A252" s="34" t="s">
        <v>377</v>
      </c>
      <c r="B252" s="33" t="s">
        <v>228</v>
      </c>
      <c r="C252" s="8">
        <v>0</v>
      </c>
      <c r="D252" s="8"/>
      <c r="E252" s="8"/>
      <c r="F252" s="8"/>
      <c r="G252" s="8">
        <v>0</v>
      </c>
      <c r="H252" s="8">
        <v>0</v>
      </c>
      <c r="I252" s="8">
        <f>150</f>
        <v>150</v>
      </c>
      <c r="J252" s="8">
        <f>SUM(G252:I252)</f>
        <v>150</v>
      </c>
      <c r="K252" s="8">
        <v>0</v>
      </c>
      <c r="L252" s="8">
        <v>0</v>
      </c>
      <c r="M252" s="8">
        <f t="shared" si="27"/>
        <v>150</v>
      </c>
      <c r="N252" s="8">
        <v>0</v>
      </c>
      <c r="O252" s="8">
        <v>0</v>
      </c>
      <c r="P252" s="8">
        <v>0</v>
      </c>
      <c r="Q252" s="99">
        <f t="shared" si="29"/>
        <v>150</v>
      </c>
    </row>
    <row r="253" spans="1:18" ht="14.95" customHeight="1" x14ac:dyDescent="0.25">
      <c r="A253" s="7" t="s">
        <v>102</v>
      </c>
      <c r="B253" s="33" t="s">
        <v>228</v>
      </c>
      <c r="C253" s="8">
        <v>650</v>
      </c>
      <c r="D253" s="8">
        <v>0</v>
      </c>
      <c r="E253" s="8">
        <v>0</v>
      </c>
      <c r="F253" s="8">
        <v>0</v>
      </c>
      <c r="G253" s="8">
        <f t="shared" si="30"/>
        <v>650</v>
      </c>
      <c r="H253" s="8">
        <v>0</v>
      </c>
      <c r="I253" s="8">
        <v>0</v>
      </c>
      <c r="J253" s="8">
        <f t="shared" si="28"/>
        <v>650</v>
      </c>
      <c r="K253" s="8">
        <v>0</v>
      </c>
      <c r="L253" s="8">
        <v>0</v>
      </c>
      <c r="M253" s="8">
        <f t="shared" si="27"/>
        <v>650</v>
      </c>
      <c r="N253" s="8">
        <v>0</v>
      </c>
      <c r="O253" s="8">
        <v>0</v>
      </c>
      <c r="P253" s="8">
        <v>0</v>
      </c>
      <c r="Q253" s="99">
        <f t="shared" si="29"/>
        <v>650</v>
      </c>
    </row>
    <row r="254" spans="1:18" ht="14.95" customHeight="1" x14ac:dyDescent="0.25">
      <c r="A254" s="34" t="s">
        <v>104</v>
      </c>
      <c r="B254" s="29"/>
      <c r="C254" s="8">
        <v>25179</v>
      </c>
      <c r="D254" s="8">
        <f>-130-107.5</f>
        <v>-237.5</v>
      </c>
      <c r="E254" s="8">
        <v>-4120.04</v>
      </c>
      <c r="F254" s="8">
        <f>67.31+27.5-35-738.84</f>
        <v>-679.03</v>
      </c>
      <c r="G254" s="8">
        <f>SUM(C254:F254)-102.35</f>
        <v>20040.080000000002</v>
      </c>
      <c r="H254" s="8">
        <v>1388</v>
      </c>
      <c r="I254" s="8">
        <f>-360-14</f>
        <v>-374</v>
      </c>
      <c r="J254" s="8">
        <f>SUM(G254:I254)+318.64</f>
        <v>21372.720000000001</v>
      </c>
      <c r="K254" s="8">
        <f>-1377.33</f>
        <v>-1377.33</v>
      </c>
      <c r="L254" s="8">
        <f>-800-152.14</f>
        <v>-952.14</v>
      </c>
      <c r="M254" s="8">
        <f t="shared" si="27"/>
        <v>19043.25</v>
      </c>
      <c r="N254" s="8">
        <f>109.28</f>
        <v>109.28</v>
      </c>
      <c r="O254" s="8">
        <f>-1475-655.27</f>
        <v>-2130.27</v>
      </c>
      <c r="P254" s="8">
        <v>0</v>
      </c>
      <c r="Q254" s="97">
        <f t="shared" si="29"/>
        <v>17022.259999999998</v>
      </c>
    </row>
    <row r="255" spans="1:18" ht="15.65" customHeight="1" thickBot="1" x14ac:dyDescent="0.3">
      <c r="A255" s="141" t="s">
        <v>105</v>
      </c>
      <c r="B255" s="134"/>
      <c r="C255" s="135">
        <f>SUM(C257:C266)</f>
        <v>345485</v>
      </c>
      <c r="D255" s="135">
        <f t="shared" ref="D255:I255" si="31">SUM(D257:D266)</f>
        <v>63.6</v>
      </c>
      <c r="E255" s="135">
        <f t="shared" si="31"/>
        <v>12032</v>
      </c>
      <c r="F255" s="135">
        <f t="shared" si="31"/>
        <v>9426.0499999999993</v>
      </c>
      <c r="G255" s="135">
        <f t="shared" si="31"/>
        <v>366896.44</v>
      </c>
      <c r="H255" s="135">
        <f t="shared" si="31"/>
        <v>5424.84</v>
      </c>
      <c r="I255" s="135">
        <f t="shared" si="31"/>
        <v>14512</v>
      </c>
      <c r="J255" s="135">
        <f t="shared" ref="J255:O255" si="32">SUM(J257:J266)</f>
        <v>386867.75</v>
      </c>
      <c r="K255" s="135">
        <f t="shared" si="32"/>
        <v>0</v>
      </c>
      <c r="L255" s="135">
        <f t="shared" si="32"/>
        <v>3814.2200000000003</v>
      </c>
      <c r="M255" s="135">
        <f t="shared" si="32"/>
        <v>390681.97</v>
      </c>
      <c r="N255" s="135">
        <f t="shared" si="32"/>
        <v>176.03</v>
      </c>
      <c r="O255" s="135">
        <f t="shared" si="32"/>
        <v>-5842</v>
      </c>
      <c r="P255" s="135">
        <f>SUM(P257:P266)</f>
        <v>225.32</v>
      </c>
      <c r="Q255" s="136">
        <f t="shared" si="29"/>
        <v>385241.32</v>
      </c>
      <c r="R255" s="87"/>
    </row>
    <row r="256" spans="1:18" ht="14.95" customHeight="1" x14ac:dyDescent="0.25">
      <c r="A256" s="37" t="s">
        <v>25</v>
      </c>
      <c r="B256" s="27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99"/>
    </row>
    <row r="257" spans="1:18" ht="14.95" customHeight="1" x14ac:dyDescent="0.25">
      <c r="A257" s="34" t="s">
        <v>27</v>
      </c>
      <c r="B257" s="29"/>
      <c r="C257" s="8">
        <v>83462</v>
      </c>
      <c r="D257" s="8">
        <f>2.6</f>
        <v>2.6</v>
      </c>
      <c r="E257" s="8">
        <v>6410</v>
      </c>
      <c r="F257" s="8">
        <f>2.6+45.11+4180</f>
        <v>4227.71</v>
      </c>
      <c r="G257" s="8">
        <f>SUM(C257:F257)-110.21</f>
        <v>93992.1</v>
      </c>
      <c r="H257" s="8">
        <v>1543</v>
      </c>
      <c r="I257" s="8">
        <f>13862</f>
        <v>13862</v>
      </c>
      <c r="J257" s="8">
        <f>SUM(G257:I257)+34.47</f>
        <v>109431.57</v>
      </c>
      <c r="K257" s="8">
        <v>0</v>
      </c>
      <c r="L257" s="8">
        <f>10+557.86+5.36</f>
        <v>573.22</v>
      </c>
      <c r="M257" s="8">
        <f t="shared" si="27"/>
        <v>110004.79000000001</v>
      </c>
      <c r="N257" s="8">
        <f>176.03</f>
        <v>176.03</v>
      </c>
      <c r="O257" s="8">
        <f>-4879</f>
        <v>-4879</v>
      </c>
      <c r="P257" s="8">
        <f>225.32</f>
        <v>225.32</v>
      </c>
      <c r="Q257" s="99">
        <f t="shared" si="29"/>
        <v>105527.14000000001</v>
      </c>
    </row>
    <row r="258" spans="1:18" ht="14.95" customHeight="1" x14ac:dyDescent="0.25">
      <c r="A258" s="34" t="s">
        <v>221</v>
      </c>
      <c r="B258" s="33" t="s">
        <v>228</v>
      </c>
      <c r="C258" s="8">
        <v>140800</v>
      </c>
      <c r="D258" s="8">
        <v>0</v>
      </c>
      <c r="E258" s="8">
        <v>6000</v>
      </c>
      <c r="F258" s="8">
        <v>0</v>
      </c>
      <c r="G258" s="8">
        <f t="shared" si="30"/>
        <v>146800</v>
      </c>
      <c r="H258" s="8">
        <v>0</v>
      </c>
      <c r="I258" s="8">
        <v>0</v>
      </c>
      <c r="J258" s="8">
        <f t="shared" si="28"/>
        <v>146800</v>
      </c>
      <c r="K258" s="8">
        <v>0</v>
      </c>
      <c r="L258" s="8">
        <v>0</v>
      </c>
      <c r="M258" s="8">
        <f t="shared" si="27"/>
        <v>146800</v>
      </c>
      <c r="N258" s="8">
        <v>0</v>
      </c>
      <c r="O258" s="8">
        <v>0</v>
      </c>
      <c r="P258" s="8">
        <v>0</v>
      </c>
      <c r="Q258" s="99">
        <f t="shared" si="29"/>
        <v>146800</v>
      </c>
    </row>
    <row r="259" spans="1:18" ht="14.95" customHeight="1" x14ac:dyDescent="0.25">
      <c r="A259" s="34" t="s">
        <v>222</v>
      </c>
      <c r="B259" s="33" t="s">
        <v>228</v>
      </c>
      <c r="C259" s="8">
        <v>27000</v>
      </c>
      <c r="D259" s="8">
        <v>0</v>
      </c>
      <c r="E259" s="8">
        <v>0</v>
      </c>
      <c r="F259" s="8">
        <f>1965.34</f>
        <v>1965.34</v>
      </c>
      <c r="G259" s="8">
        <f t="shared" si="30"/>
        <v>28965.34</v>
      </c>
      <c r="H259" s="8">
        <v>0</v>
      </c>
      <c r="I259" s="8">
        <v>0</v>
      </c>
      <c r="J259" s="8">
        <f t="shared" si="28"/>
        <v>28965.34</v>
      </c>
      <c r="K259" s="8">
        <v>0</v>
      </c>
      <c r="L259" s="8">
        <v>0</v>
      </c>
      <c r="M259" s="8">
        <f t="shared" ref="M259:M329" si="33">SUM(J259:L259)</f>
        <v>28965.34</v>
      </c>
      <c r="N259" s="8">
        <v>0</v>
      </c>
      <c r="O259" s="8">
        <v>0</v>
      </c>
      <c r="P259" s="8">
        <v>0</v>
      </c>
      <c r="Q259" s="99">
        <f t="shared" si="29"/>
        <v>28965.34</v>
      </c>
    </row>
    <row r="260" spans="1:18" ht="14.95" customHeight="1" x14ac:dyDescent="0.25">
      <c r="A260" s="34" t="s">
        <v>106</v>
      </c>
      <c r="B260" s="33" t="s">
        <v>228</v>
      </c>
      <c r="C260" s="8">
        <v>233</v>
      </c>
      <c r="D260" s="8">
        <v>0</v>
      </c>
      <c r="E260" s="8">
        <v>0</v>
      </c>
      <c r="F260" s="8">
        <v>0</v>
      </c>
      <c r="G260" s="8">
        <f t="shared" si="30"/>
        <v>233</v>
      </c>
      <c r="H260" s="8">
        <v>0</v>
      </c>
      <c r="I260" s="8">
        <v>0</v>
      </c>
      <c r="J260" s="8">
        <f t="shared" si="28"/>
        <v>233</v>
      </c>
      <c r="K260" s="8">
        <v>0</v>
      </c>
      <c r="L260" s="8">
        <v>0</v>
      </c>
      <c r="M260" s="8">
        <f t="shared" si="33"/>
        <v>233</v>
      </c>
      <c r="N260" s="8">
        <v>0</v>
      </c>
      <c r="O260" s="8">
        <v>0</v>
      </c>
      <c r="P260" s="8">
        <v>0</v>
      </c>
      <c r="Q260" s="99">
        <f t="shared" si="29"/>
        <v>233</v>
      </c>
    </row>
    <row r="261" spans="1:18" ht="14.95" customHeight="1" x14ac:dyDescent="0.25">
      <c r="A261" s="34" t="s">
        <v>107</v>
      </c>
      <c r="B261" s="33" t="s">
        <v>228</v>
      </c>
      <c r="C261" s="8">
        <v>194</v>
      </c>
      <c r="D261" s="8">
        <v>0</v>
      </c>
      <c r="E261" s="8">
        <v>0</v>
      </c>
      <c r="F261" s="8">
        <v>0</v>
      </c>
      <c r="G261" s="8">
        <f t="shared" si="30"/>
        <v>194</v>
      </c>
      <c r="H261" s="8">
        <v>0</v>
      </c>
      <c r="I261" s="8">
        <v>0</v>
      </c>
      <c r="J261" s="8">
        <f t="shared" si="28"/>
        <v>194</v>
      </c>
      <c r="K261" s="8">
        <v>0</v>
      </c>
      <c r="L261" s="8">
        <v>0</v>
      </c>
      <c r="M261" s="8">
        <f t="shared" si="33"/>
        <v>194</v>
      </c>
      <c r="N261" s="8">
        <v>0</v>
      </c>
      <c r="O261" s="8">
        <v>0</v>
      </c>
      <c r="P261" s="8">
        <v>0</v>
      </c>
      <c r="Q261" s="99">
        <f t="shared" si="29"/>
        <v>194</v>
      </c>
    </row>
    <row r="262" spans="1:18" ht="14.95" customHeight="1" x14ac:dyDescent="0.25">
      <c r="A262" s="34" t="s">
        <v>108</v>
      </c>
      <c r="B262" s="33" t="s">
        <v>228</v>
      </c>
      <c r="C262" s="8">
        <v>1072</v>
      </c>
      <c r="D262" s="8">
        <v>0</v>
      </c>
      <c r="E262" s="8">
        <v>0</v>
      </c>
      <c r="F262" s="8">
        <v>0</v>
      </c>
      <c r="G262" s="8">
        <f t="shared" si="30"/>
        <v>1072</v>
      </c>
      <c r="H262" s="8">
        <v>0</v>
      </c>
      <c r="I262" s="8">
        <v>0</v>
      </c>
      <c r="J262" s="8">
        <f t="shared" si="28"/>
        <v>1072</v>
      </c>
      <c r="K262" s="8">
        <v>0</v>
      </c>
      <c r="L262" s="8">
        <v>0</v>
      </c>
      <c r="M262" s="8">
        <f t="shared" si="33"/>
        <v>1072</v>
      </c>
      <c r="N262" s="8">
        <v>0</v>
      </c>
      <c r="O262" s="8">
        <v>0</v>
      </c>
      <c r="P262" s="8">
        <v>0</v>
      </c>
      <c r="Q262" s="99">
        <f t="shared" si="29"/>
        <v>1072</v>
      </c>
    </row>
    <row r="263" spans="1:18" ht="14.95" customHeight="1" x14ac:dyDescent="0.25">
      <c r="A263" s="34" t="s">
        <v>109</v>
      </c>
      <c r="B263" s="33" t="s">
        <v>228</v>
      </c>
      <c r="C263" s="8">
        <v>284</v>
      </c>
      <c r="D263" s="8">
        <v>0</v>
      </c>
      <c r="E263" s="8">
        <v>0</v>
      </c>
      <c r="F263" s="8">
        <v>0</v>
      </c>
      <c r="G263" s="8">
        <f t="shared" si="30"/>
        <v>284</v>
      </c>
      <c r="H263" s="8">
        <v>0</v>
      </c>
      <c r="I263" s="8">
        <v>0</v>
      </c>
      <c r="J263" s="8">
        <f t="shared" si="28"/>
        <v>284</v>
      </c>
      <c r="K263" s="8">
        <v>0</v>
      </c>
      <c r="L263" s="8">
        <v>0</v>
      </c>
      <c r="M263" s="8">
        <f t="shared" si="33"/>
        <v>284</v>
      </c>
      <c r="N263" s="8">
        <v>0</v>
      </c>
      <c r="O263" s="8">
        <v>0</v>
      </c>
      <c r="P263" s="8">
        <v>0</v>
      </c>
      <c r="Q263" s="99">
        <f t="shared" si="29"/>
        <v>284</v>
      </c>
    </row>
    <row r="264" spans="1:18" ht="25.15" customHeight="1" x14ac:dyDescent="0.25">
      <c r="A264" s="7" t="s">
        <v>110</v>
      </c>
      <c r="B264" s="33" t="s">
        <v>228</v>
      </c>
      <c r="C264" s="8">
        <v>154</v>
      </c>
      <c r="D264" s="8">
        <v>0</v>
      </c>
      <c r="E264" s="8">
        <v>0</v>
      </c>
      <c r="F264" s="8">
        <v>0</v>
      </c>
      <c r="G264" s="8">
        <f t="shared" si="30"/>
        <v>154</v>
      </c>
      <c r="H264" s="8">
        <v>0</v>
      </c>
      <c r="I264" s="8">
        <v>0</v>
      </c>
      <c r="J264" s="8">
        <f t="shared" si="28"/>
        <v>154</v>
      </c>
      <c r="K264" s="8">
        <v>0</v>
      </c>
      <c r="L264" s="8">
        <v>0</v>
      </c>
      <c r="M264" s="8">
        <f t="shared" si="33"/>
        <v>154</v>
      </c>
      <c r="N264" s="8">
        <v>0</v>
      </c>
      <c r="O264" s="8">
        <v>0</v>
      </c>
      <c r="P264" s="8">
        <v>0</v>
      </c>
      <c r="Q264" s="99">
        <f t="shared" ref="Q264:Q301" si="34">SUM(M264:P264)</f>
        <v>154</v>
      </c>
    </row>
    <row r="265" spans="1:18" ht="40.75" x14ac:dyDescent="0.25">
      <c r="A265" s="7" t="s">
        <v>237</v>
      </c>
      <c r="B265" s="33" t="s">
        <v>157</v>
      </c>
      <c r="C265" s="8">
        <v>2450</v>
      </c>
      <c r="D265" s="8">
        <v>0</v>
      </c>
      <c r="E265" s="8">
        <v>-930</v>
      </c>
      <c r="F265" s="8">
        <v>0</v>
      </c>
      <c r="G265" s="8">
        <f t="shared" si="30"/>
        <v>1520</v>
      </c>
      <c r="H265" s="8">
        <v>0</v>
      </c>
      <c r="I265" s="8">
        <v>0</v>
      </c>
      <c r="J265" s="8">
        <f t="shared" si="28"/>
        <v>1520</v>
      </c>
      <c r="K265" s="8">
        <v>0</v>
      </c>
      <c r="L265" s="8">
        <v>0</v>
      </c>
      <c r="M265" s="8">
        <f t="shared" si="33"/>
        <v>1520</v>
      </c>
      <c r="N265" s="8">
        <v>0</v>
      </c>
      <c r="O265" s="8">
        <v>0</v>
      </c>
      <c r="P265" s="8">
        <v>0</v>
      </c>
      <c r="Q265" s="99">
        <f t="shared" si="34"/>
        <v>1520</v>
      </c>
    </row>
    <row r="266" spans="1:18" ht="25.15" customHeight="1" thickBot="1" x14ac:dyDescent="0.3">
      <c r="A266" s="9" t="s">
        <v>111</v>
      </c>
      <c r="B266" s="25"/>
      <c r="C266" s="10">
        <v>89836</v>
      </c>
      <c r="D266" s="10">
        <f>61</f>
        <v>61</v>
      </c>
      <c r="E266" s="10">
        <v>552</v>
      </c>
      <c r="F266" s="10">
        <f>33+3200</f>
        <v>3233</v>
      </c>
      <c r="G266" s="10">
        <f t="shared" si="30"/>
        <v>93682</v>
      </c>
      <c r="H266" s="10">
        <v>3881.84</v>
      </c>
      <c r="I266" s="10">
        <f>650</f>
        <v>650</v>
      </c>
      <c r="J266" s="10">
        <f t="shared" si="28"/>
        <v>98213.84</v>
      </c>
      <c r="K266" s="10">
        <v>0</v>
      </c>
      <c r="L266" s="10">
        <f>2990+251</f>
        <v>3241</v>
      </c>
      <c r="M266" s="10">
        <f t="shared" si="33"/>
        <v>101454.84</v>
      </c>
      <c r="N266" s="10">
        <v>0</v>
      </c>
      <c r="O266" s="10">
        <f>-963</f>
        <v>-963</v>
      </c>
      <c r="P266" s="10">
        <v>0</v>
      </c>
      <c r="Q266" s="101">
        <f t="shared" si="34"/>
        <v>100491.84</v>
      </c>
    </row>
    <row r="267" spans="1:18" ht="15.65" customHeight="1" thickBot="1" x14ac:dyDescent="0.3">
      <c r="A267" s="36" t="s">
        <v>112</v>
      </c>
      <c r="B267" s="30"/>
      <c r="C267" s="22">
        <f t="shared" ref="C267:I267" si="35">SUM(C269:C275)</f>
        <v>158463</v>
      </c>
      <c r="D267" s="22">
        <f t="shared" si="35"/>
        <v>0</v>
      </c>
      <c r="E267" s="22">
        <f t="shared" si="35"/>
        <v>4210</v>
      </c>
      <c r="F267" s="22">
        <f t="shared" si="35"/>
        <v>524.67000000000007</v>
      </c>
      <c r="G267" s="22">
        <f t="shared" si="35"/>
        <v>163197.67000000001</v>
      </c>
      <c r="H267" s="22">
        <f t="shared" si="35"/>
        <v>0</v>
      </c>
      <c r="I267" s="22">
        <f t="shared" si="35"/>
        <v>280.10000000000002</v>
      </c>
      <c r="J267" s="22">
        <f t="shared" ref="J267:O267" si="36">SUM(J269:J275)</f>
        <v>163477.76999999999</v>
      </c>
      <c r="K267" s="22">
        <f t="shared" si="36"/>
        <v>0</v>
      </c>
      <c r="L267" s="22">
        <f t="shared" si="36"/>
        <v>125</v>
      </c>
      <c r="M267" s="22">
        <f t="shared" si="36"/>
        <v>163602.76999999999</v>
      </c>
      <c r="N267" s="22">
        <f t="shared" si="36"/>
        <v>0</v>
      </c>
      <c r="O267" s="22">
        <f t="shared" si="36"/>
        <v>35.659999999999997</v>
      </c>
      <c r="P267" s="22">
        <f>SUM(P269:P275)</f>
        <v>0</v>
      </c>
      <c r="Q267" s="105">
        <f t="shared" si="34"/>
        <v>163638.43</v>
      </c>
      <c r="R267" s="87"/>
    </row>
    <row r="268" spans="1:18" ht="14.95" customHeight="1" x14ac:dyDescent="0.25">
      <c r="A268" s="37" t="s">
        <v>25</v>
      </c>
      <c r="B268" s="27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99"/>
    </row>
    <row r="269" spans="1:18" ht="14.95" customHeight="1" x14ac:dyDescent="0.25">
      <c r="A269" s="34" t="s">
        <v>27</v>
      </c>
      <c r="B269" s="29"/>
      <c r="C269" s="8">
        <v>4240</v>
      </c>
      <c r="D269" s="8">
        <v>0</v>
      </c>
      <c r="E269" s="8">
        <v>0</v>
      </c>
      <c r="F269" s="8">
        <f>522.2</f>
        <v>522.20000000000005</v>
      </c>
      <c r="G269" s="8">
        <f t="shared" si="30"/>
        <v>4762.2</v>
      </c>
      <c r="H269" s="8">
        <v>0</v>
      </c>
      <c r="I269" s="8">
        <f>250</f>
        <v>250</v>
      </c>
      <c r="J269" s="8">
        <f>SUM(G269:I269)+82.54</f>
        <v>5094.74</v>
      </c>
      <c r="K269" s="8">
        <v>0</v>
      </c>
      <c r="L269" s="8">
        <f>-650</f>
        <v>-650</v>
      </c>
      <c r="M269" s="8">
        <f t="shared" si="33"/>
        <v>4444.74</v>
      </c>
      <c r="N269" s="8">
        <v>0</v>
      </c>
      <c r="O269" s="8">
        <v>0</v>
      </c>
      <c r="P269" s="8">
        <v>0</v>
      </c>
      <c r="Q269" s="99">
        <f t="shared" si="34"/>
        <v>4444.74</v>
      </c>
    </row>
    <row r="270" spans="1:18" ht="27.7" customHeight="1" x14ac:dyDescent="0.25">
      <c r="A270" s="7" t="s">
        <v>113</v>
      </c>
      <c r="B270" s="33" t="s">
        <v>114</v>
      </c>
      <c r="C270" s="8">
        <v>300</v>
      </c>
      <c r="D270" s="8">
        <v>0</v>
      </c>
      <c r="E270" s="8">
        <v>0</v>
      </c>
      <c r="F270" s="8">
        <v>0</v>
      </c>
      <c r="G270" s="8">
        <f t="shared" si="30"/>
        <v>300</v>
      </c>
      <c r="H270" s="8">
        <v>0</v>
      </c>
      <c r="I270" s="8">
        <v>0</v>
      </c>
      <c r="J270" s="8">
        <f t="shared" si="28"/>
        <v>300</v>
      </c>
      <c r="K270" s="8">
        <v>0</v>
      </c>
      <c r="L270" s="8">
        <v>0</v>
      </c>
      <c r="M270" s="8">
        <f t="shared" si="33"/>
        <v>300</v>
      </c>
      <c r="N270" s="8">
        <v>0</v>
      </c>
      <c r="O270" s="8">
        <f>-120.34</f>
        <v>-120.34</v>
      </c>
      <c r="P270" s="8">
        <v>0</v>
      </c>
      <c r="Q270" s="99">
        <f t="shared" si="34"/>
        <v>179.66</v>
      </c>
    </row>
    <row r="271" spans="1:18" ht="14.95" customHeight="1" x14ac:dyDescent="0.25">
      <c r="A271" s="7" t="s">
        <v>235</v>
      </c>
      <c r="B271" s="33" t="s">
        <v>236</v>
      </c>
      <c r="C271" s="8">
        <v>250</v>
      </c>
      <c r="D271" s="8">
        <v>0</v>
      </c>
      <c r="E271" s="8">
        <v>0</v>
      </c>
      <c r="F271" s="8">
        <v>0</v>
      </c>
      <c r="G271" s="8">
        <f t="shared" si="30"/>
        <v>250</v>
      </c>
      <c r="H271" s="8">
        <v>0</v>
      </c>
      <c r="I271" s="8">
        <v>0</v>
      </c>
      <c r="J271" s="8">
        <f t="shared" ref="J271:J348" si="37">SUM(G271:I271)</f>
        <v>250</v>
      </c>
      <c r="K271" s="8">
        <v>0</v>
      </c>
      <c r="L271" s="8">
        <v>0</v>
      </c>
      <c r="M271" s="8">
        <f t="shared" si="33"/>
        <v>250</v>
      </c>
      <c r="N271" s="8">
        <v>0</v>
      </c>
      <c r="O271" s="8">
        <f>-44</f>
        <v>-44</v>
      </c>
      <c r="P271" s="8">
        <v>0</v>
      </c>
      <c r="Q271" s="99">
        <f t="shared" si="34"/>
        <v>206</v>
      </c>
    </row>
    <row r="272" spans="1:18" ht="14.95" customHeight="1" x14ac:dyDescent="0.25">
      <c r="A272" s="34" t="s">
        <v>115</v>
      </c>
      <c r="B272" s="39"/>
      <c r="C272" s="8">
        <v>10</v>
      </c>
      <c r="D272" s="8">
        <v>0</v>
      </c>
      <c r="E272" s="8">
        <v>0</v>
      </c>
      <c r="F272" s="8">
        <v>0</v>
      </c>
      <c r="G272" s="8">
        <f t="shared" si="30"/>
        <v>10</v>
      </c>
      <c r="H272" s="8">
        <v>0</v>
      </c>
      <c r="I272" s="8">
        <v>0</v>
      </c>
      <c r="J272" s="8">
        <f t="shared" si="37"/>
        <v>10</v>
      </c>
      <c r="K272" s="8">
        <v>0</v>
      </c>
      <c r="L272" s="8">
        <v>0</v>
      </c>
      <c r="M272" s="8">
        <f t="shared" si="33"/>
        <v>10</v>
      </c>
      <c r="N272" s="8">
        <v>0</v>
      </c>
      <c r="O272" s="8">
        <v>0</v>
      </c>
      <c r="P272" s="8">
        <v>0</v>
      </c>
      <c r="Q272" s="99">
        <f t="shared" si="34"/>
        <v>10</v>
      </c>
    </row>
    <row r="273" spans="1:18" ht="14.95" customHeight="1" x14ac:dyDescent="0.25">
      <c r="A273" s="34" t="s">
        <v>116</v>
      </c>
      <c r="B273" s="51" t="s">
        <v>256</v>
      </c>
      <c r="C273" s="8">
        <v>180</v>
      </c>
      <c r="D273" s="8">
        <v>0</v>
      </c>
      <c r="E273" s="8">
        <v>20</v>
      </c>
      <c r="F273" s="8">
        <v>0</v>
      </c>
      <c r="G273" s="8">
        <f t="shared" si="30"/>
        <v>200</v>
      </c>
      <c r="H273" s="8">
        <v>0</v>
      </c>
      <c r="I273" s="8">
        <v>0</v>
      </c>
      <c r="J273" s="8">
        <f t="shared" si="37"/>
        <v>200</v>
      </c>
      <c r="K273" s="8">
        <v>0</v>
      </c>
      <c r="L273" s="8">
        <v>0</v>
      </c>
      <c r="M273" s="8">
        <f t="shared" si="33"/>
        <v>200</v>
      </c>
      <c r="N273" s="8">
        <v>0</v>
      </c>
      <c r="O273" s="8">
        <v>0</v>
      </c>
      <c r="P273" s="8">
        <v>0</v>
      </c>
      <c r="Q273" s="99">
        <f t="shared" si="34"/>
        <v>200</v>
      </c>
    </row>
    <row r="274" spans="1:18" ht="14.95" customHeight="1" x14ac:dyDescent="0.25">
      <c r="A274" s="34" t="s">
        <v>117</v>
      </c>
      <c r="B274" s="51" t="s">
        <v>256</v>
      </c>
      <c r="C274" s="8">
        <v>810</v>
      </c>
      <c r="D274" s="8">
        <v>0</v>
      </c>
      <c r="E274" s="8">
        <v>190</v>
      </c>
      <c r="F274" s="8">
        <v>0</v>
      </c>
      <c r="G274" s="8">
        <f t="shared" si="30"/>
        <v>1000</v>
      </c>
      <c r="H274" s="8">
        <v>0</v>
      </c>
      <c r="I274" s="8">
        <v>0</v>
      </c>
      <c r="J274" s="8">
        <f t="shared" si="37"/>
        <v>1000</v>
      </c>
      <c r="K274" s="8">
        <v>0</v>
      </c>
      <c r="L274" s="8">
        <v>0</v>
      </c>
      <c r="M274" s="8">
        <f t="shared" si="33"/>
        <v>1000</v>
      </c>
      <c r="N274" s="8">
        <v>0</v>
      </c>
      <c r="O274" s="8">
        <v>0</v>
      </c>
      <c r="P274" s="8">
        <v>0</v>
      </c>
      <c r="Q274" s="99">
        <f t="shared" si="34"/>
        <v>1000</v>
      </c>
    </row>
    <row r="275" spans="1:18" ht="25.15" customHeight="1" x14ac:dyDescent="0.25">
      <c r="A275" s="7" t="s">
        <v>118</v>
      </c>
      <c r="B275" s="51"/>
      <c r="C275" s="8">
        <v>152673</v>
      </c>
      <c r="D275" s="8">
        <v>0</v>
      </c>
      <c r="E275" s="8">
        <v>4000</v>
      </c>
      <c r="F275" s="8">
        <f>2.47</f>
        <v>2.4700000000000002</v>
      </c>
      <c r="G275" s="8">
        <f t="shared" si="30"/>
        <v>156675.47</v>
      </c>
      <c r="H275" s="8">
        <v>0</v>
      </c>
      <c r="I275" s="8">
        <f>22.37+7.73</f>
        <v>30.1</v>
      </c>
      <c r="J275" s="8">
        <f>SUM(G275:I275)-82.54</f>
        <v>156623.03</v>
      </c>
      <c r="K275" s="8">
        <v>0</v>
      </c>
      <c r="L275" s="8">
        <f>-45+820</f>
        <v>775</v>
      </c>
      <c r="M275" s="8">
        <f t="shared" si="33"/>
        <v>157398.03</v>
      </c>
      <c r="N275" s="8">
        <v>0</v>
      </c>
      <c r="O275" s="8">
        <f>200</f>
        <v>200</v>
      </c>
      <c r="P275" s="8">
        <v>0</v>
      </c>
      <c r="Q275" s="97">
        <f t="shared" si="34"/>
        <v>157598.03</v>
      </c>
    </row>
    <row r="276" spans="1:18" ht="15.65" customHeight="1" thickBot="1" x14ac:dyDescent="0.3">
      <c r="A276" s="141" t="s">
        <v>119</v>
      </c>
      <c r="B276" s="134"/>
      <c r="C276" s="135">
        <f t="shared" ref="C276:I276" si="38">SUM(C278:C332)</f>
        <v>176360</v>
      </c>
      <c r="D276" s="135">
        <f t="shared" si="38"/>
        <v>111</v>
      </c>
      <c r="E276" s="135">
        <f t="shared" si="38"/>
        <v>45</v>
      </c>
      <c r="F276" s="135">
        <f t="shared" si="38"/>
        <v>0</v>
      </c>
      <c r="G276" s="135">
        <f t="shared" si="38"/>
        <v>176519</v>
      </c>
      <c r="H276" s="135">
        <f t="shared" si="38"/>
        <v>0</v>
      </c>
      <c r="I276" s="135">
        <f t="shared" si="38"/>
        <v>50</v>
      </c>
      <c r="J276" s="135">
        <f t="shared" ref="J276:O276" si="39">SUM(J278:J332)</f>
        <v>176880.15000000002</v>
      </c>
      <c r="K276" s="135">
        <f t="shared" si="39"/>
        <v>535</v>
      </c>
      <c r="L276" s="135">
        <f t="shared" si="39"/>
        <v>1782</v>
      </c>
      <c r="M276" s="135">
        <f t="shared" si="39"/>
        <v>179197.15000000002</v>
      </c>
      <c r="N276" s="135">
        <f t="shared" si="39"/>
        <v>0</v>
      </c>
      <c r="O276" s="135">
        <f t="shared" si="39"/>
        <v>-723</v>
      </c>
      <c r="P276" s="135">
        <f>SUM(P278:P332)</f>
        <v>0</v>
      </c>
      <c r="Q276" s="136">
        <f t="shared" si="34"/>
        <v>178474.15000000002</v>
      </c>
      <c r="R276" s="87"/>
    </row>
    <row r="277" spans="1:18" ht="14.95" customHeight="1" x14ac:dyDescent="0.25">
      <c r="A277" s="37" t="s">
        <v>25</v>
      </c>
      <c r="B277" s="27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99"/>
    </row>
    <row r="278" spans="1:18" ht="23.8" customHeight="1" x14ac:dyDescent="0.25">
      <c r="A278" s="7" t="s">
        <v>238</v>
      </c>
      <c r="B278" s="33" t="s">
        <v>156</v>
      </c>
      <c r="C278" s="8">
        <v>850</v>
      </c>
      <c r="D278" s="8">
        <v>0</v>
      </c>
      <c r="E278" s="8">
        <v>0</v>
      </c>
      <c r="F278" s="8">
        <v>0</v>
      </c>
      <c r="G278" s="8">
        <f t="shared" si="30"/>
        <v>850</v>
      </c>
      <c r="H278" s="8">
        <v>-170.3</v>
      </c>
      <c r="I278" s="8">
        <v>0</v>
      </c>
      <c r="J278" s="8">
        <f t="shared" si="37"/>
        <v>679.7</v>
      </c>
      <c r="K278" s="8">
        <v>0</v>
      </c>
      <c r="L278" s="8">
        <v>0</v>
      </c>
      <c r="M278" s="8">
        <f t="shared" si="33"/>
        <v>679.7</v>
      </c>
      <c r="N278" s="8">
        <v>0</v>
      </c>
      <c r="O278" s="8">
        <v>0</v>
      </c>
      <c r="P278" s="8">
        <v>0</v>
      </c>
      <c r="Q278" s="99">
        <f t="shared" si="34"/>
        <v>679.7</v>
      </c>
    </row>
    <row r="279" spans="1:18" ht="25.15" customHeight="1" x14ac:dyDescent="0.25">
      <c r="A279" s="7" t="s">
        <v>239</v>
      </c>
      <c r="B279" s="33" t="s">
        <v>155</v>
      </c>
      <c r="C279" s="8">
        <v>18500</v>
      </c>
      <c r="D279" s="8">
        <v>0</v>
      </c>
      <c r="E279" s="8">
        <v>0</v>
      </c>
      <c r="F279" s="8">
        <v>0</v>
      </c>
      <c r="G279" s="8">
        <f t="shared" si="30"/>
        <v>18500</v>
      </c>
      <c r="H279" s="8">
        <v>0</v>
      </c>
      <c r="I279" s="8">
        <v>0</v>
      </c>
      <c r="J279" s="8">
        <f t="shared" si="37"/>
        <v>18500</v>
      </c>
      <c r="K279" s="8">
        <v>0</v>
      </c>
      <c r="L279" s="8">
        <v>0</v>
      </c>
      <c r="M279" s="8">
        <f t="shared" si="33"/>
        <v>18500</v>
      </c>
      <c r="N279" s="8">
        <v>0</v>
      </c>
      <c r="O279" s="8">
        <v>0</v>
      </c>
      <c r="P279" s="8">
        <v>0</v>
      </c>
      <c r="Q279" s="99">
        <f t="shared" si="34"/>
        <v>18500</v>
      </c>
    </row>
    <row r="280" spans="1:18" ht="24.45" customHeight="1" x14ac:dyDescent="0.25">
      <c r="A280" s="7" t="s">
        <v>240</v>
      </c>
      <c r="B280" s="33" t="s">
        <v>121</v>
      </c>
      <c r="C280" s="8">
        <v>1000</v>
      </c>
      <c r="D280" s="8">
        <v>0</v>
      </c>
      <c r="E280" s="8">
        <v>0</v>
      </c>
      <c r="F280" s="8">
        <v>0</v>
      </c>
      <c r="G280" s="8">
        <f t="shared" si="30"/>
        <v>1000</v>
      </c>
      <c r="H280" s="8">
        <v>-430</v>
      </c>
      <c r="I280" s="8">
        <v>0</v>
      </c>
      <c r="J280" s="8">
        <f t="shared" si="37"/>
        <v>570</v>
      </c>
      <c r="K280" s="8">
        <v>0</v>
      </c>
      <c r="L280" s="8">
        <v>0</v>
      </c>
      <c r="M280" s="8">
        <f t="shared" si="33"/>
        <v>570</v>
      </c>
      <c r="N280" s="8">
        <v>0</v>
      </c>
      <c r="O280" s="8">
        <v>0</v>
      </c>
      <c r="P280" s="8">
        <v>0</v>
      </c>
      <c r="Q280" s="99">
        <f t="shared" si="34"/>
        <v>570</v>
      </c>
    </row>
    <row r="281" spans="1:18" ht="27" customHeight="1" x14ac:dyDescent="0.25">
      <c r="A281" s="7" t="s">
        <v>241</v>
      </c>
      <c r="B281" s="33" t="s">
        <v>122</v>
      </c>
      <c r="C281" s="8">
        <v>1700</v>
      </c>
      <c r="D281" s="8">
        <v>0</v>
      </c>
      <c r="E281" s="8">
        <v>0</v>
      </c>
      <c r="F281" s="8">
        <v>0</v>
      </c>
      <c r="G281" s="8">
        <f t="shared" si="30"/>
        <v>1700</v>
      </c>
      <c r="H281" s="8">
        <v>0</v>
      </c>
      <c r="I281" s="8">
        <v>0</v>
      </c>
      <c r="J281" s="8">
        <f t="shared" si="37"/>
        <v>1700</v>
      </c>
      <c r="K281" s="8">
        <v>0</v>
      </c>
      <c r="L281" s="8">
        <v>0</v>
      </c>
      <c r="M281" s="8">
        <f t="shared" si="33"/>
        <v>1700</v>
      </c>
      <c r="N281" s="8">
        <v>0</v>
      </c>
      <c r="O281" s="8">
        <v>0</v>
      </c>
      <c r="P281" s="8">
        <v>0</v>
      </c>
      <c r="Q281" s="99">
        <f t="shared" si="34"/>
        <v>1700</v>
      </c>
    </row>
    <row r="282" spans="1:18" ht="50.95" customHeight="1" x14ac:dyDescent="0.25">
      <c r="A282" s="7" t="s">
        <v>124</v>
      </c>
      <c r="B282" s="33" t="s">
        <v>228</v>
      </c>
      <c r="C282" s="8">
        <v>11900</v>
      </c>
      <c r="D282" s="8">
        <v>0</v>
      </c>
      <c r="E282" s="8">
        <v>3000</v>
      </c>
      <c r="F282" s="8">
        <v>0</v>
      </c>
      <c r="G282" s="8">
        <f t="shared" si="30"/>
        <v>14900</v>
      </c>
      <c r="H282" s="8">
        <v>0</v>
      </c>
      <c r="I282" s="8">
        <v>0</v>
      </c>
      <c r="J282" s="8">
        <f t="shared" si="37"/>
        <v>14900</v>
      </c>
      <c r="K282" s="8">
        <v>0</v>
      </c>
      <c r="L282" s="8">
        <v>0</v>
      </c>
      <c r="M282" s="8">
        <f t="shared" si="33"/>
        <v>14900</v>
      </c>
      <c r="N282" s="8">
        <v>0</v>
      </c>
      <c r="O282" s="8">
        <v>0</v>
      </c>
      <c r="P282" s="8">
        <v>0</v>
      </c>
      <c r="Q282" s="99">
        <f t="shared" si="34"/>
        <v>14900</v>
      </c>
    </row>
    <row r="283" spans="1:18" ht="14.95" customHeight="1" x14ac:dyDescent="0.25">
      <c r="A283" s="7" t="s">
        <v>223</v>
      </c>
      <c r="B283" s="33" t="s">
        <v>228</v>
      </c>
      <c r="C283" s="8">
        <v>5400</v>
      </c>
      <c r="D283" s="8">
        <v>0</v>
      </c>
      <c r="E283" s="8">
        <v>0</v>
      </c>
      <c r="F283" s="8">
        <v>0</v>
      </c>
      <c r="G283" s="8">
        <f t="shared" si="30"/>
        <v>5400</v>
      </c>
      <c r="H283" s="8">
        <v>0</v>
      </c>
      <c r="I283" s="8">
        <v>0</v>
      </c>
      <c r="J283" s="8">
        <f t="shared" si="37"/>
        <v>5400</v>
      </c>
      <c r="K283" s="8">
        <v>0</v>
      </c>
      <c r="L283" s="8">
        <f>-396</f>
        <v>-396</v>
      </c>
      <c r="M283" s="8">
        <f t="shared" si="33"/>
        <v>5004</v>
      </c>
      <c r="N283" s="8">
        <v>0</v>
      </c>
      <c r="O283" s="8">
        <v>0</v>
      </c>
      <c r="P283" s="8">
        <v>0</v>
      </c>
      <c r="Q283" s="99">
        <f t="shared" si="34"/>
        <v>5004</v>
      </c>
    </row>
    <row r="284" spans="1:18" ht="14.95" customHeight="1" x14ac:dyDescent="0.25">
      <c r="A284" s="34" t="s">
        <v>125</v>
      </c>
      <c r="B284" s="33" t="s">
        <v>228</v>
      </c>
      <c r="C284" s="8">
        <v>6609</v>
      </c>
      <c r="D284" s="8">
        <v>0</v>
      </c>
      <c r="E284" s="8">
        <v>45</v>
      </c>
      <c r="F284" s="8">
        <v>0</v>
      </c>
      <c r="G284" s="8">
        <f t="shared" si="30"/>
        <v>6654</v>
      </c>
      <c r="H284" s="8">
        <v>0</v>
      </c>
      <c r="I284" s="8">
        <v>0</v>
      </c>
      <c r="J284" s="8">
        <f t="shared" si="37"/>
        <v>6654</v>
      </c>
      <c r="K284" s="8">
        <v>0</v>
      </c>
      <c r="L284" s="8">
        <v>0</v>
      </c>
      <c r="M284" s="8">
        <f t="shared" si="33"/>
        <v>6654</v>
      </c>
      <c r="N284" s="8">
        <v>0</v>
      </c>
      <c r="O284" s="8">
        <v>0</v>
      </c>
      <c r="P284" s="8">
        <v>0</v>
      </c>
      <c r="Q284" s="99">
        <f t="shared" si="34"/>
        <v>6654</v>
      </c>
    </row>
    <row r="285" spans="1:18" ht="53" customHeight="1" x14ac:dyDescent="0.25">
      <c r="A285" s="7" t="s">
        <v>126</v>
      </c>
      <c r="B285" s="33" t="s">
        <v>228</v>
      </c>
      <c r="C285" s="8">
        <v>18700</v>
      </c>
      <c r="D285" s="8">
        <v>0</v>
      </c>
      <c r="E285" s="8">
        <v>0</v>
      </c>
      <c r="F285" s="8">
        <v>0</v>
      </c>
      <c r="G285" s="8">
        <f t="shared" si="30"/>
        <v>18700</v>
      </c>
      <c r="H285" s="8">
        <v>0</v>
      </c>
      <c r="I285" s="8">
        <v>0</v>
      </c>
      <c r="J285" s="8">
        <f t="shared" si="37"/>
        <v>18700</v>
      </c>
      <c r="K285" s="8">
        <v>0</v>
      </c>
      <c r="L285" s="8">
        <v>0</v>
      </c>
      <c r="M285" s="8">
        <f t="shared" si="33"/>
        <v>18700</v>
      </c>
      <c r="N285" s="8">
        <v>0</v>
      </c>
      <c r="O285" s="8">
        <f>1100</f>
        <v>1100</v>
      </c>
      <c r="P285" s="8">
        <v>0</v>
      </c>
      <c r="Q285" s="99">
        <f t="shared" si="34"/>
        <v>19800</v>
      </c>
    </row>
    <row r="286" spans="1:18" ht="14.95" customHeight="1" x14ac:dyDescent="0.25">
      <c r="A286" s="7" t="s">
        <v>226</v>
      </c>
      <c r="B286" s="33" t="s">
        <v>228</v>
      </c>
      <c r="C286" s="8">
        <v>27800</v>
      </c>
      <c r="D286" s="8">
        <v>0</v>
      </c>
      <c r="E286" s="8">
        <v>0</v>
      </c>
      <c r="F286" s="8">
        <v>0</v>
      </c>
      <c r="G286" s="8">
        <f t="shared" si="30"/>
        <v>27800</v>
      </c>
      <c r="H286" s="8">
        <v>0</v>
      </c>
      <c r="I286" s="8">
        <v>0</v>
      </c>
      <c r="J286" s="8">
        <f t="shared" si="37"/>
        <v>27800</v>
      </c>
      <c r="K286" s="8">
        <v>0</v>
      </c>
      <c r="L286" s="8">
        <f>1367</f>
        <v>1367</v>
      </c>
      <c r="M286" s="8">
        <f t="shared" si="33"/>
        <v>29167</v>
      </c>
      <c r="N286" s="8">
        <v>0</v>
      </c>
      <c r="O286" s="8">
        <v>0</v>
      </c>
      <c r="P286" s="8">
        <v>0</v>
      </c>
      <c r="Q286" s="99">
        <f t="shared" si="34"/>
        <v>29167</v>
      </c>
    </row>
    <row r="287" spans="1:18" ht="64.55" customHeight="1" x14ac:dyDescent="0.25">
      <c r="A287" s="7" t="s">
        <v>127</v>
      </c>
      <c r="B287" s="33" t="s">
        <v>228</v>
      </c>
      <c r="C287" s="8">
        <v>14900</v>
      </c>
      <c r="D287" s="8">
        <v>0</v>
      </c>
      <c r="E287" s="8">
        <v>0</v>
      </c>
      <c r="F287" s="8">
        <v>0</v>
      </c>
      <c r="G287" s="8">
        <f t="shared" si="30"/>
        <v>14900</v>
      </c>
      <c r="H287" s="8">
        <v>0</v>
      </c>
      <c r="I287" s="8">
        <v>0</v>
      </c>
      <c r="J287" s="8">
        <f t="shared" si="37"/>
        <v>14900</v>
      </c>
      <c r="K287" s="8">
        <v>0</v>
      </c>
      <c r="L287" s="8">
        <v>0</v>
      </c>
      <c r="M287" s="8">
        <f t="shared" si="33"/>
        <v>14900</v>
      </c>
      <c r="N287" s="8">
        <v>0</v>
      </c>
      <c r="O287" s="8">
        <v>0</v>
      </c>
      <c r="P287" s="8">
        <v>0</v>
      </c>
      <c r="Q287" s="99">
        <f t="shared" si="34"/>
        <v>14900</v>
      </c>
    </row>
    <row r="288" spans="1:18" ht="14.95" customHeight="1" x14ac:dyDescent="0.25">
      <c r="A288" s="7" t="s">
        <v>225</v>
      </c>
      <c r="B288" s="33" t="s">
        <v>228</v>
      </c>
      <c r="C288" s="8">
        <v>16000</v>
      </c>
      <c r="D288" s="8">
        <v>0</v>
      </c>
      <c r="E288" s="8">
        <v>0</v>
      </c>
      <c r="F288" s="8">
        <v>0</v>
      </c>
      <c r="G288" s="8">
        <f t="shared" si="30"/>
        <v>16000</v>
      </c>
      <c r="H288" s="8">
        <v>0</v>
      </c>
      <c r="I288" s="8">
        <v>0</v>
      </c>
      <c r="J288" s="8">
        <f t="shared" si="37"/>
        <v>16000</v>
      </c>
      <c r="K288" s="8">
        <v>0</v>
      </c>
      <c r="L288" s="8">
        <f>510</f>
        <v>510</v>
      </c>
      <c r="M288" s="8">
        <f t="shared" si="33"/>
        <v>16510</v>
      </c>
      <c r="N288" s="8">
        <v>0</v>
      </c>
      <c r="O288" s="8">
        <v>0</v>
      </c>
      <c r="P288" s="8">
        <v>0</v>
      </c>
      <c r="Q288" s="99">
        <f t="shared" si="34"/>
        <v>16510</v>
      </c>
    </row>
    <row r="289" spans="1:17" ht="51.65" customHeight="1" x14ac:dyDescent="0.25">
      <c r="A289" s="7" t="s">
        <v>128</v>
      </c>
      <c r="B289" s="33" t="s">
        <v>228</v>
      </c>
      <c r="C289" s="8">
        <v>12000</v>
      </c>
      <c r="D289" s="8">
        <v>0</v>
      </c>
      <c r="E289" s="8">
        <v>0</v>
      </c>
      <c r="F289" s="8">
        <v>0</v>
      </c>
      <c r="G289" s="8">
        <f t="shared" si="30"/>
        <v>12000</v>
      </c>
      <c r="H289" s="8">
        <v>0</v>
      </c>
      <c r="I289" s="8">
        <v>0</v>
      </c>
      <c r="J289" s="8">
        <f t="shared" si="37"/>
        <v>12000</v>
      </c>
      <c r="K289" s="8">
        <v>0</v>
      </c>
      <c r="L289" s="8">
        <v>0</v>
      </c>
      <c r="M289" s="8">
        <f t="shared" si="33"/>
        <v>12000</v>
      </c>
      <c r="N289" s="8">
        <v>0</v>
      </c>
      <c r="O289" s="8">
        <v>0</v>
      </c>
      <c r="P289" s="8">
        <v>0</v>
      </c>
      <c r="Q289" s="99">
        <f t="shared" si="34"/>
        <v>12000</v>
      </c>
    </row>
    <row r="290" spans="1:17" ht="14.95" customHeight="1" x14ac:dyDescent="0.25">
      <c r="A290" s="7" t="s">
        <v>224</v>
      </c>
      <c r="B290" s="33" t="s">
        <v>228</v>
      </c>
      <c r="C290" s="8">
        <v>5800</v>
      </c>
      <c r="D290" s="8">
        <v>0</v>
      </c>
      <c r="E290" s="8">
        <v>0</v>
      </c>
      <c r="F290" s="8">
        <v>0</v>
      </c>
      <c r="G290" s="8">
        <f t="shared" si="30"/>
        <v>5800</v>
      </c>
      <c r="H290" s="8">
        <v>0</v>
      </c>
      <c r="I290" s="8">
        <v>0</v>
      </c>
      <c r="J290" s="8">
        <f t="shared" si="37"/>
        <v>5800</v>
      </c>
      <c r="K290" s="8">
        <v>0</v>
      </c>
      <c r="L290" s="8">
        <f>239</f>
        <v>239</v>
      </c>
      <c r="M290" s="8">
        <f t="shared" si="33"/>
        <v>6039</v>
      </c>
      <c r="N290" s="8">
        <v>0</v>
      </c>
      <c r="O290" s="8">
        <v>0</v>
      </c>
      <c r="P290" s="8">
        <v>0</v>
      </c>
      <c r="Q290" s="99">
        <f t="shared" si="34"/>
        <v>6039</v>
      </c>
    </row>
    <row r="291" spans="1:17" ht="64.55" customHeight="1" x14ac:dyDescent="0.25">
      <c r="A291" s="7" t="s">
        <v>129</v>
      </c>
      <c r="B291" s="33" t="s">
        <v>228</v>
      </c>
      <c r="C291" s="8">
        <v>11300</v>
      </c>
      <c r="D291" s="8">
        <v>0</v>
      </c>
      <c r="E291" s="8">
        <v>0</v>
      </c>
      <c r="F291" s="8">
        <v>0</v>
      </c>
      <c r="G291" s="8">
        <f t="shared" si="30"/>
        <v>11300</v>
      </c>
      <c r="H291" s="8">
        <v>0</v>
      </c>
      <c r="I291" s="8">
        <v>0</v>
      </c>
      <c r="J291" s="8">
        <f t="shared" si="37"/>
        <v>11300</v>
      </c>
      <c r="K291" s="8">
        <v>0</v>
      </c>
      <c r="L291" s="8">
        <v>0</v>
      </c>
      <c r="M291" s="8">
        <f t="shared" si="33"/>
        <v>11300</v>
      </c>
      <c r="N291" s="8">
        <v>0</v>
      </c>
      <c r="O291" s="8">
        <v>0</v>
      </c>
      <c r="P291" s="8">
        <v>0</v>
      </c>
      <c r="Q291" s="99">
        <f t="shared" si="34"/>
        <v>11300</v>
      </c>
    </row>
    <row r="292" spans="1:17" ht="14.95" customHeight="1" x14ac:dyDescent="0.25">
      <c r="A292" s="7" t="s">
        <v>227</v>
      </c>
      <c r="B292" s="33" t="s">
        <v>228</v>
      </c>
      <c r="C292" s="8">
        <v>7000</v>
      </c>
      <c r="D292" s="8">
        <v>0</v>
      </c>
      <c r="E292" s="8">
        <v>0</v>
      </c>
      <c r="F292" s="8">
        <v>0</v>
      </c>
      <c r="G292" s="8">
        <f t="shared" si="30"/>
        <v>7000</v>
      </c>
      <c r="H292" s="8">
        <v>0</v>
      </c>
      <c r="I292" s="8">
        <v>0</v>
      </c>
      <c r="J292" s="8">
        <f t="shared" si="37"/>
        <v>7000</v>
      </c>
      <c r="K292" s="8">
        <v>0</v>
      </c>
      <c r="L292" s="8">
        <f>62</f>
        <v>62</v>
      </c>
      <c r="M292" s="8">
        <f>SUM(J292:L292)</f>
        <v>7062</v>
      </c>
      <c r="N292" s="8">
        <v>0</v>
      </c>
      <c r="O292" s="8">
        <v>0</v>
      </c>
      <c r="P292" s="8">
        <v>0</v>
      </c>
      <c r="Q292" s="99">
        <f t="shared" si="34"/>
        <v>7062</v>
      </c>
    </row>
    <row r="293" spans="1:17" ht="14.95" customHeight="1" x14ac:dyDescent="0.25">
      <c r="A293" s="7" t="s">
        <v>422</v>
      </c>
      <c r="B293" s="33" t="s">
        <v>228</v>
      </c>
      <c r="C293" s="8">
        <v>0</v>
      </c>
      <c r="D293" s="8"/>
      <c r="E293" s="8"/>
      <c r="F293" s="8"/>
      <c r="G293" s="8"/>
      <c r="H293" s="8"/>
      <c r="I293" s="8"/>
      <c r="J293" s="8">
        <v>0</v>
      </c>
      <c r="K293" s="8">
        <v>0</v>
      </c>
      <c r="L293" s="8">
        <f>16</f>
        <v>16</v>
      </c>
      <c r="M293" s="8">
        <f>SUM(J293:L293)</f>
        <v>16</v>
      </c>
      <c r="N293" s="8">
        <v>0</v>
      </c>
      <c r="O293" s="8">
        <v>0</v>
      </c>
      <c r="P293" s="8">
        <v>0</v>
      </c>
      <c r="Q293" s="99">
        <f t="shared" si="34"/>
        <v>16</v>
      </c>
    </row>
    <row r="294" spans="1:17" ht="23.8" customHeight="1" x14ac:dyDescent="0.25">
      <c r="A294" s="7" t="s">
        <v>130</v>
      </c>
      <c r="B294" s="33"/>
      <c r="C294" s="8">
        <v>4.5</v>
      </c>
      <c r="D294" s="8">
        <v>0</v>
      </c>
      <c r="E294" s="8">
        <v>0</v>
      </c>
      <c r="F294" s="8">
        <v>0</v>
      </c>
      <c r="G294" s="8">
        <f t="shared" si="30"/>
        <v>4.5</v>
      </c>
      <c r="H294" s="8">
        <v>0</v>
      </c>
      <c r="I294" s="8">
        <v>0</v>
      </c>
      <c r="J294" s="8">
        <f t="shared" si="37"/>
        <v>4.5</v>
      </c>
      <c r="K294" s="8">
        <v>0</v>
      </c>
      <c r="L294" s="8">
        <v>0</v>
      </c>
      <c r="M294" s="8">
        <f t="shared" si="33"/>
        <v>4.5</v>
      </c>
      <c r="N294" s="8">
        <v>0</v>
      </c>
      <c r="O294" s="8">
        <v>0</v>
      </c>
      <c r="P294" s="8">
        <v>0</v>
      </c>
      <c r="Q294" s="99">
        <f t="shared" si="34"/>
        <v>4.5</v>
      </c>
    </row>
    <row r="295" spans="1:17" ht="14.95" customHeight="1" x14ac:dyDescent="0.25">
      <c r="A295" s="7" t="s">
        <v>131</v>
      </c>
      <c r="B295" s="33" t="s">
        <v>247</v>
      </c>
      <c r="C295" s="8">
        <v>20</v>
      </c>
      <c r="D295" s="8">
        <v>0</v>
      </c>
      <c r="E295" s="8">
        <v>0</v>
      </c>
      <c r="F295" s="8">
        <v>0</v>
      </c>
      <c r="G295" s="8">
        <f t="shared" si="30"/>
        <v>20</v>
      </c>
      <c r="H295" s="8">
        <v>0</v>
      </c>
      <c r="I295" s="8">
        <v>0</v>
      </c>
      <c r="J295" s="8">
        <f t="shared" si="37"/>
        <v>20</v>
      </c>
      <c r="K295" s="8">
        <v>0</v>
      </c>
      <c r="L295" s="8">
        <v>0</v>
      </c>
      <c r="M295" s="8">
        <f t="shared" si="33"/>
        <v>20</v>
      </c>
      <c r="N295" s="8">
        <v>0</v>
      </c>
      <c r="O295" s="8">
        <v>0</v>
      </c>
      <c r="P295" s="8">
        <v>0</v>
      </c>
      <c r="Q295" s="99">
        <f t="shared" si="34"/>
        <v>20</v>
      </c>
    </row>
    <row r="296" spans="1:17" ht="14.95" customHeight="1" x14ac:dyDescent="0.25">
      <c r="A296" s="7" t="s">
        <v>132</v>
      </c>
      <c r="B296" s="33" t="s">
        <v>247</v>
      </c>
      <c r="C296" s="8">
        <v>30</v>
      </c>
      <c r="D296" s="8">
        <v>0</v>
      </c>
      <c r="E296" s="8">
        <v>0</v>
      </c>
      <c r="F296" s="8">
        <v>0</v>
      </c>
      <c r="G296" s="8">
        <f t="shared" si="30"/>
        <v>30</v>
      </c>
      <c r="H296" s="8">
        <v>0</v>
      </c>
      <c r="I296" s="8">
        <v>0</v>
      </c>
      <c r="J296" s="8">
        <f t="shared" si="37"/>
        <v>30</v>
      </c>
      <c r="K296" s="8">
        <v>0</v>
      </c>
      <c r="L296" s="8">
        <v>0</v>
      </c>
      <c r="M296" s="8">
        <f t="shared" si="33"/>
        <v>30</v>
      </c>
      <c r="N296" s="8">
        <v>0</v>
      </c>
      <c r="O296" s="8">
        <v>0</v>
      </c>
      <c r="P296" s="8">
        <v>0</v>
      </c>
      <c r="Q296" s="99">
        <f t="shared" si="34"/>
        <v>30</v>
      </c>
    </row>
    <row r="297" spans="1:17" ht="14.95" customHeight="1" x14ac:dyDescent="0.25">
      <c r="A297" s="34" t="s">
        <v>133</v>
      </c>
      <c r="B297" s="33" t="s">
        <v>247</v>
      </c>
      <c r="C297" s="8">
        <v>100</v>
      </c>
      <c r="D297" s="8">
        <v>0</v>
      </c>
      <c r="E297" s="8">
        <v>0</v>
      </c>
      <c r="F297" s="8">
        <v>0</v>
      </c>
      <c r="G297" s="8">
        <f t="shared" si="30"/>
        <v>100</v>
      </c>
      <c r="H297" s="8">
        <v>0</v>
      </c>
      <c r="I297" s="8">
        <v>0</v>
      </c>
      <c r="J297" s="8">
        <f t="shared" si="37"/>
        <v>100</v>
      </c>
      <c r="K297" s="8">
        <v>0</v>
      </c>
      <c r="L297" s="8">
        <v>0</v>
      </c>
      <c r="M297" s="8">
        <f t="shared" si="33"/>
        <v>100</v>
      </c>
      <c r="N297" s="8">
        <v>0</v>
      </c>
      <c r="O297" s="8">
        <v>0</v>
      </c>
      <c r="P297" s="8">
        <v>0</v>
      </c>
      <c r="Q297" s="99">
        <f t="shared" si="34"/>
        <v>100</v>
      </c>
    </row>
    <row r="298" spans="1:17" ht="14.95" customHeight="1" x14ac:dyDescent="0.25">
      <c r="A298" s="34" t="s">
        <v>134</v>
      </c>
      <c r="B298" s="33" t="s">
        <v>228</v>
      </c>
      <c r="C298" s="8">
        <v>1050</v>
      </c>
      <c r="D298" s="8">
        <v>0</v>
      </c>
      <c r="E298" s="8">
        <v>0</v>
      </c>
      <c r="F298" s="8">
        <v>0</v>
      </c>
      <c r="G298" s="8">
        <f t="shared" si="30"/>
        <v>1050</v>
      </c>
      <c r="H298" s="8">
        <v>0</v>
      </c>
      <c r="I298" s="8">
        <v>0</v>
      </c>
      <c r="J298" s="8">
        <f>SUM(G298:I298)</f>
        <v>1050</v>
      </c>
      <c r="K298" s="8">
        <v>0</v>
      </c>
      <c r="L298" s="8">
        <v>0</v>
      </c>
      <c r="M298" s="8">
        <f t="shared" si="33"/>
        <v>1050</v>
      </c>
      <c r="N298" s="8">
        <v>0</v>
      </c>
      <c r="O298" s="8">
        <v>0</v>
      </c>
      <c r="P298" s="8">
        <v>0</v>
      </c>
      <c r="Q298" s="99">
        <f t="shared" si="34"/>
        <v>1050</v>
      </c>
    </row>
    <row r="299" spans="1:17" ht="14.95" customHeight="1" x14ac:dyDescent="0.25">
      <c r="A299" s="34" t="s">
        <v>135</v>
      </c>
      <c r="B299" s="33" t="s">
        <v>228</v>
      </c>
      <c r="C299" s="8">
        <v>4000</v>
      </c>
      <c r="D299" s="8">
        <v>0</v>
      </c>
      <c r="E299" s="8">
        <v>0</v>
      </c>
      <c r="F299" s="8">
        <v>0</v>
      </c>
      <c r="G299" s="8">
        <f t="shared" si="30"/>
        <v>4000</v>
      </c>
      <c r="H299" s="8">
        <v>0</v>
      </c>
      <c r="I299" s="8">
        <v>0</v>
      </c>
      <c r="J299" s="8">
        <f t="shared" si="37"/>
        <v>4000</v>
      </c>
      <c r="K299" s="8">
        <v>0</v>
      </c>
      <c r="L299" s="8">
        <v>0</v>
      </c>
      <c r="M299" s="8">
        <f t="shared" si="33"/>
        <v>4000</v>
      </c>
      <c r="N299" s="8">
        <v>0</v>
      </c>
      <c r="O299" s="8">
        <v>0</v>
      </c>
      <c r="P299" s="8">
        <v>0</v>
      </c>
      <c r="Q299" s="99">
        <f t="shared" si="34"/>
        <v>4000</v>
      </c>
    </row>
    <row r="300" spans="1:17" ht="14.95" customHeight="1" x14ac:dyDescent="0.25">
      <c r="A300" s="34" t="s">
        <v>136</v>
      </c>
      <c r="B300" s="33" t="s">
        <v>247</v>
      </c>
      <c r="C300" s="8">
        <v>90</v>
      </c>
      <c r="D300" s="8">
        <v>0</v>
      </c>
      <c r="E300" s="8">
        <v>0</v>
      </c>
      <c r="F300" s="8">
        <v>0</v>
      </c>
      <c r="G300" s="8">
        <f t="shared" si="30"/>
        <v>90</v>
      </c>
      <c r="H300" s="8">
        <v>0</v>
      </c>
      <c r="I300" s="8">
        <v>0</v>
      </c>
      <c r="J300" s="8">
        <f>SUM(G300:I300)</f>
        <v>90</v>
      </c>
      <c r="K300" s="8">
        <v>0</v>
      </c>
      <c r="L300" s="8">
        <v>0</v>
      </c>
      <c r="M300" s="8">
        <f t="shared" si="33"/>
        <v>90</v>
      </c>
      <c r="N300" s="8">
        <v>0</v>
      </c>
      <c r="O300" s="8">
        <v>0</v>
      </c>
      <c r="P300" s="8">
        <v>0</v>
      </c>
      <c r="Q300" s="99">
        <f t="shared" si="34"/>
        <v>90</v>
      </c>
    </row>
    <row r="301" spans="1:17" ht="14.95" customHeight="1" x14ac:dyDescent="0.25">
      <c r="A301" s="34" t="s">
        <v>390</v>
      </c>
      <c r="B301" s="33" t="s">
        <v>228</v>
      </c>
      <c r="C301" s="8">
        <v>0</v>
      </c>
      <c r="D301" s="8"/>
      <c r="E301" s="8"/>
      <c r="F301" s="8"/>
      <c r="G301" s="8">
        <v>0</v>
      </c>
      <c r="H301" s="8">
        <v>0</v>
      </c>
      <c r="I301" s="8">
        <f>50</f>
        <v>50</v>
      </c>
      <c r="J301" s="8">
        <f>SUM(G301:I301)</f>
        <v>50</v>
      </c>
      <c r="K301" s="8">
        <v>0</v>
      </c>
      <c r="L301" s="8">
        <v>0</v>
      </c>
      <c r="M301" s="8">
        <f t="shared" si="33"/>
        <v>50</v>
      </c>
      <c r="N301" s="8">
        <v>0</v>
      </c>
      <c r="O301" s="8">
        <v>0</v>
      </c>
      <c r="P301" s="8">
        <v>0</v>
      </c>
      <c r="Q301" s="99">
        <f t="shared" si="34"/>
        <v>50</v>
      </c>
    </row>
    <row r="302" spans="1:17" ht="14.95" customHeight="1" x14ac:dyDescent="0.25">
      <c r="A302" s="34" t="s">
        <v>137</v>
      </c>
      <c r="B302" s="33" t="s">
        <v>228</v>
      </c>
      <c r="C302" s="8">
        <v>50</v>
      </c>
      <c r="D302" s="8">
        <v>0</v>
      </c>
      <c r="E302" s="8">
        <v>0</v>
      </c>
      <c r="F302" s="8">
        <v>0</v>
      </c>
      <c r="G302" s="8">
        <f t="shared" si="30"/>
        <v>50</v>
      </c>
      <c r="H302" s="8">
        <v>0</v>
      </c>
      <c r="I302" s="8">
        <v>0</v>
      </c>
      <c r="J302" s="8">
        <f t="shared" si="37"/>
        <v>50</v>
      </c>
      <c r="K302" s="8">
        <v>0</v>
      </c>
      <c r="L302" s="8">
        <v>0</v>
      </c>
      <c r="M302" s="8">
        <f t="shared" si="33"/>
        <v>50</v>
      </c>
      <c r="N302" s="8">
        <v>0</v>
      </c>
      <c r="O302" s="8">
        <v>0</v>
      </c>
      <c r="P302" s="8">
        <v>0</v>
      </c>
      <c r="Q302" s="99">
        <f>SUM(M302:P302)</f>
        <v>50</v>
      </c>
    </row>
    <row r="303" spans="1:17" ht="14.95" customHeight="1" x14ac:dyDescent="0.25">
      <c r="A303" s="34" t="s">
        <v>138</v>
      </c>
      <c r="B303" s="33" t="s">
        <v>228</v>
      </c>
      <c r="C303" s="8">
        <v>100</v>
      </c>
      <c r="D303" s="8">
        <v>0</v>
      </c>
      <c r="E303" s="8">
        <v>0</v>
      </c>
      <c r="F303" s="8">
        <v>0</v>
      </c>
      <c r="G303" s="8">
        <f t="shared" si="30"/>
        <v>100</v>
      </c>
      <c r="H303" s="8">
        <v>0</v>
      </c>
      <c r="I303" s="8">
        <v>0</v>
      </c>
      <c r="J303" s="8">
        <f t="shared" si="37"/>
        <v>100</v>
      </c>
      <c r="K303" s="8">
        <v>0</v>
      </c>
      <c r="L303" s="8">
        <v>0</v>
      </c>
      <c r="M303" s="8">
        <f t="shared" si="33"/>
        <v>100</v>
      </c>
      <c r="N303" s="8">
        <v>0</v>
      </c>
      <c r="O303" s="8">
        <v>0</v>
      </c>
      <c r="P303" s="8">
        <v>0</v>
      </c>
      <c r="Q303" s="99">
        <f t="shared" ref="Q303:Q367" si="40">SUM(M303:P303)</f>
        <v>100</v>
      </c>
    </row>
    <row r="304" spans="1:17" ht="14.95" customHeight="1" x14ac:dyDescent="0.25">
      <c r="A304" s="34" t="s">
        <v>139</v>
      </c>
      <c r="B304" s="33" t="s">
        <v>228</v>
      </c>
      <c r="C304" s="8">
        <v>650</v>
      </c>
      <c r="D304" s="8">
        <v>0</v>
      </c>
      <c r="E304" s="8">
        <v>0</v>
      </c>
      <c r="F304" s="8">
        <v>0</v>
      </c>
      <c r="G304" s="8">
        <f t="shared" si="30"/>
        <v>650</v>
      </c>
      <c r="H304" s="8">
        <v>0</v>
      </c>
      <c r="I304" s="8">
        <v>0</v>
      </c>
      <c r="J304" s="8">
        <f t="shared" si="37"/>
        <v>650</v>
      </c>
      <c r="K304" s="8">
        <v>0</v>
      </c>
      <c r="L304" s="8">
        <v>0</v>
      </c>
      <c r="M304" s="8">
        <f t="shared" si="33"/>
        <v>650</v>
      </c>
      <c r="N304" s="8">
        <v>0</v>
      </c>
      <c r="O304" s="8">
        <v>0</v>
      </c>
      <c r="P304" s="8">
        <v>0</v>
      </c>
      <c r="Q304" s="99">
        <f t="shared" si="40"/>
        <v>650</v>
      </c>
    </row>
    <row r="305" spans="1:17" ht="14.95" customHeight="1" x14ac:dyDescent="0.25">
      <c r="A305" s="38" t="s">
        <v>140</v>
      </c>
      <c r="B305" s="33" t="s">
        <v>247</v>
      </c>
      <c r="C305" s="8">
        <v>45</v>
      </c>
      <c r="D305" s="8">
        <v>0</v>
      </c>
      <c r="E305" s="8">
        <v>0</v>
      </c>
      <c r="F305" s="8">
        <v>0</v>
      </c>
      <c r="G305" s="8">
        <f t="shared" si="30"/>
        <v>45</v>
      </c>
      <c r="H305" s="8">
        <v>0</v>
      </c>
      <c r="I305" s="8">
        <v>0</v>
      </c>
      <c r="J305" s="8">
        <f t="shared" si="37"/>
        <v>45</v>
      </c>
      <c r="K305" s="8">
        <v>0</v>
      </c>
      <c r="L305" s="8">
        <v>0</v>
      </c>
      <c r="M305" s="8">
        <f t="shared" si="33"/>
        <v>45</v>
      </c>
      <c r="N305" s="8">
        <v>0</v>
      </c>
      <c r="O305" s="8">
        <v>0</v>
      </c>
      <c r="P305" s="8">
        <v>0</v>
      </c>
      <c r="Q305" s="99">
        <f>SUM(M305:P305)</f>
        <v>45</v>
      </c>
    </row>
    <row r="306" spans="1:17" ht="14.95" customHeight="1" x14ac:dyDescent="0.25">
      <c r="A306" s="38" t="s">
        <v>472</v>
      </c>
      <c r="B306" s="33" t="s">
        <v>228</v>
      </c>
      <c r="C306" s="8">
        <v>0</v>
      </c>
      <c r="D306" s="8"/>
      <c r="E306" s="8"/>
      <c r="F306" s="8"/>
      <c r="G306" s="8"/>
      <c r="H306" s="8"/>
      <c r="I306" s="8"/>
      <c r="J306" s="8"/>
      <c r="K306" s="8"/>
      <c r="L306" s="8"/>
      <c r="M306" s="8">
        <v>0</v>
      </c>
      <c r="N306" s="8">
        <v>0</v>
      </c>
      <c r="O306" s="8">
        <v>0</v>
      </c>
      <c r="P306" s="8">
        <f>63</f>
        <v>63</v>
      </c>
      <c r="Q306" s="99">
        <f>SUM(M306:P306)</f>
        <v>63</v>
      </c>
    </row>
    <row r="307" spans="1:17" ht="14.95" customHeight="1" x14ac:dyDescent="0.25">
      <c r="A307" s="7" t="s">
        <v>141</v>
      </c>
      <c r="B307" s="33" t="s">
        <v>247</v>
      </c>
      <c r="C307" s="8">
        <v>30</v>
      </c>
      <c r="D307" s="8">
        <v>0</v>
      </c>
      <c r="E307" s="8">
        <v>0</v>
      </c>
      <c r="F307" s="8">
        <v>0</v>
      </c>
      <c r="G307" s="8">
        <f t="shared" si="30"/>
        <v>30</v>
      </c>
      <c r="H307" s="8">
        <v>0</v>
      </c>
      <c r="I307" s="8">
        <v>0</v>
      </c>
      <c r="J307" s="8">
        <f t="shared" si="37"/>
        <v>30</v>
      </c>
      <c r="K307" s="8">
        <v>0</v>
      </c>
      <c r="L307" s="8">
        <v>0</v>
      </c>
      <c r="M307" s="8">
        <f t="shared" si="33"/>
        <v>30</v>
      </c>
      <c r="N307" s="8">
        <v>0</v>
      </c>
      <c r="O307" s="8">
        <v>0</v>
      </c>
      <c r="P307" s="8">
        <v>0</v>
      </c>
      <c r="Q307" s="99">
        <f t="shared" si="40"/>
        <v>30</v>
      </c>
    </row>
    <row r="308" spans="1:17" ht="14.95" customHeight="1" x14ac:dyDescent="0.25">
      <c r="A308" s="38" t="s">
        <v>142</v>
      </c>
      <c r="B308" s="33" t="s">
        <v>247</v>
      </c>
      <c r="C308" s="8">
        <v>45</v>
      </c>
      <c r="D308" s="8">
        <v>0</v>
      </c>
      <c r="E308" s="8">
        <v>0</v>
      </c>
      <c r="F308" s="8">
        <v>0</v>
      </c>
      <c r="G308" s="8">
        <f t="shared" si="30"/>
        <v>45</v>
      </c>
      <c r="H308" s="8">
        <v>0</v>
      </c>
      <c r="I308" s="8">
        <v>0</v>
      </c>
      <c r="J308" s="8">
        <f t="shared" si="37"/>
        <v>45</v>
      </c>
      <c r="K308" s="8">
        <v>0</v>
      </c>
      <c r="L308" s="8">
        <v>0</v>
      </c>
      <c r="M308" s="8">
        <f t="shared" si="33"/>
        <v>45</v>
      </c>
      <c r="N308" s="8">
        <v>0</v>
      </c>
      <c r="O308" s="8">
        <v>0</v>
      </c>
      <c r="P308" s="8">
        <v>0</v>
      </c>
      <c r="Q308" s="99">
        <f t="shared" si="40"/>
        <v>45</v>
      </c>
    </row>
    <row r="309" spans="1:17" ht="14.95" customHeight="1" x14ac:dyDescent="0.25">
      <c r="A309" s="38" t="s">
        <v>406</v>
      </c>
      <c r="B309" s="33" t="s">
        <v>228</v>
      </c>
      <c r="C309" s="8">
        <v>0</v>
      </c>
      <c r="D309" s="8"/>
      <c r="E309" s="8"/>
      <c r="F309" s="8"/>
      <c r="G309" s="8"/>
      <c r="H309" s="8"/>
      <c r="I309" s="8"/>
      <c r="J309" s="8">
        <f>60</f>
        <v>60</v>
      </c>
      <c r="K309" s="8">
        <v>0</v>
      </c>
      <c r="L309" s="8">
        <v>0</v>
      </c>
      <c r="M309" s="8">
        <f t="shared" si="33"/>
        <v>60</v>
      </c>
      <c r="N309" s="8">
        <v>0</v>
      </c>
      <c r="O309" s="8">
        <v>0</v>
      </c>
      <c r="P309" s="8">
        <v>0</v>
      </c>
      <c r="Q309" s="99">
        <f t="shared" si="40"/>
        <v>60</v>
      </c>
    </row>
    <row r="310" spans="1:17" ht="25.85" customHeight="1" x14ac:dyDescent="0.25">
      <c r="A310" s="38" t="s">
        <v>387</v>
      </c>
      <c r="B310" s="33" t="s">
        <v>270</v>
      </c>
      <c r="C310" s="8">
        <v>0</v>
      </c>
      <c r="D310" s="8"/>
      <c r="E310" s="8"/>
      <c r="F310" s="8"/>
      <c r="G310" s="8">
        <v>0</v>
      </c>
      <c r="H310" s="8">
        <v>0</v>
      </c>
      <c r="I310" s="8">
        <f>20</f>
        <v>20</v>
      </c>
      <c r="J310" s="8">
        <f>SUM(G310:I310)</f>
        <v>20</v>
      </c>
      <c r="K310" s="8">
        <v>0</v>
      </c>
      <c r="L310" s="8">
        <v>0</v>
      </c>
      <c r="M310" s="8">
        <f t="shared" si="33"/>
        <v>20</v>
      </c>
      <c r="N310" s="8">
        <v>0</v>
      </c>
      <c r="O310" s="8">
        <v>0</v>
      </c>
      <c r="P310" s="8">
        <v>0</v>
      </c>
      <c r="Q310" s="99">
        <f t="shared" si="40"/>
        <v>20</v>
      </c>
    </row>
    <row r="311" spans="1:17" ht="23.1" customHeight="1" x14ac:dyDescent="0.25">
      <c r="A311" s="38" t="s">
        <v>338</v>
      </c>
      <c r="B311" s="33" t="s">
        <v>228</v>
      </c>
      <c r="C311" s="8">
        <v>0</v>
      </c>
      <c r="D311" s="8">
        <v>0</v>
      </c>
      <c r="E311" s="8">
        <v>0</v>
      </c>
      <c r="F311" s="8">
        <f>45</f>
        <v>45</v>
      </c>
      <c r="G311" s="8">
        <f>SUM(C311:F311)</f>
        <v>45</v>
      </c>
      <c r="H311" s="8">
        <v>0</v>
      </c>
      <c r="I311" s="8">
        <v>0</v>
      </c>
      <c r="J311" s="8">
        <f t="shared" si="37"/>
        <v>45</v>
      </c>
      <c r="K311" s="8">
        <v>0</v>
      </c>
      <c r="L311" s="8">
        <v>0</v>
      </c>
      <c r="M311" s="8">
        <f t="shared" si="33"/>
        <v>45</v>
      </c>
      <c r="N311" s="8">
        <v>0</v>
      </c>
      <c r="O311" s="8">
        <v>0</v>
      </c>
      <c r="P311" s="8">
        <v>0</v>
      </c>
      <c r="Q311" s="99">
        <f t="shared" si="40"/>
        <v>45</v>
      </c>
    </row>
    <row r="312" spans="1:17" ht="14.95" customHeight="1" x14ac:dyDescent="0.25">
      <c r="A312" s="38" t="s">
        <v>143</v>
      </c>
      <c r="B312" s="33" t="s">
        <v>228</v>
      </c>
      <c r="C312" s="8">
        <v>50</v>
      </c>
      <c r="D312" s="8">
        <v>0</v>
      </c>
      <c r="E312" s="8">
        <v>0</v>
      </c>
      <c r="F312" s="8">
        <v>0</v>
      </c>
      <c r="G312" s="8">
        <f t="shared" si="30"/>
        <v>50</v>
      </c>
      <c r="H312" s="8">
        <v>0</v>
      </c>
      <c r="I312" s="8">
        <v>0</v>
      </c>
      <c r="J312" s="8">
        <f t="shared" si="37"/>
        <v>50</v>
      </c>
      <c r="K312" s="8">
        <v>0</v>
      </c>
      <c r="L312" s="8">
        <v>0</v>
      </c>
      <c r="M312" s="8">
        <f t="shared" si="33"/>
        <v>50</v>
      </c>
      <c r="N312" s="8">
        <v>0</v>
      </c>
      <c r="O312" s="8">
        <v>0</v>
      </c>
      <c r="P312" s="8">
        <v>0</v>
      </c>
      <c r="Q312" s="99">
        <f t="shared" si="40"/>
        <v>50</v>
      </c>
    </row>
    <row r="313" spans="1:17" ht="14.95" customHeight="1" x14ac:dyDescent="0.25">
      <c r="A313" s="38" t="s">
        <v>407</v>
      </c>
      <c r="B313" s="33" t="s">
        <v>228</v>
      </c>
      <c r="C313" s="8">
        <v>0</v>
      </c>
      <c r="D313" s="8"/>
      <c r="E313" s="8"/>
      <c r="F313" s="8"/>
      <c r="G313" s="8"/>
      <c r="H313" s="8"/>
      <c r="I313" s="8"/>
      <c r="J313" s="8">
        <f>30</f>
        <v>30</v>
      </c>
      <c r="K313" s="8">
        <v>0</v>
      </c>
      <c r="L313" s="8">
        <v>0</v>
      </c>
      <c r="M313" s="8">
        <f t="shared" si="33"/>
        <v>30</v>
      </c>
      <c r="N313" s="8">
        <v>0</v>
      </c>
      <c r="O313" s="8">
        <v>0</v>
      </c>
      <c r="P313" s="8">
        <v>0</v>
      </c>
      <c r="Q313" s="99">
        <f t="shared" si="40"/>
        <v>30</v>
      </c>
    </row>
    <row r="314" spans="1:17" ht="14.95" customHeight="1" x14ac:dyDescent="0.25">
      <c r="A314" s="38" t="s">
        <v>383</v>
      </c>
      <c r="B314" s="33" t="s">
        <v>384</v>
      </c>
      <c r="C314" s="8">
        <v>0</v>
      </c>
      <c r="D314" s="8"/>
      <c r="E314" s="8"/>
      <c r="F314" s="8"/>
      <c r="G314" s="8">
        <v>0</v>
      </c>
      <c r="H314" s="8">
        <v>0</v>
      </c>
      <c r="I314" s="8">
        <f>150</f>
        <v>150</v>
      </c>
      <c r="J314" s="8">
        <f>SUM(G314:I314)</f>
        <v>150</v>
      </c>
      <c r="K314" s="8">
        <v>0</v>
      </c>
      <c r="L314" s="8">
        <v>0</v>
      </c>
      <c r="M314" s="8">
        <f t="shared" si="33"/>
        <v>150</v>
      </c>
      <c r="N314" s="8">
        <v>0</v>
      </c>
      <c r="O314" s="8">
        <v>0</v>
      </c>
      <c r="P314" s="8">
        <v>0</v>
      </c>
      <c r="Q314" s="99">
        <f t="shared" si="40"/>
        <v>150</v>
      </c>
    </row>
    <row r="315" spans="1:17" ht="25.15" customHeight="1" x14ac:dyDescent="0.25">
      <c r="A315" s="38" t="s">
        <v>336</v>
      </c>
      <c r="B315" s="33" t="s">
        <v>228</v>
      </c>
      <c r="C315" s="8">
        <v>0</v>
      </c>
      <c r="D315" s="8">
        <v>0</v>
      </c>
      <c r="E315" s="8">
        <v>0</v>
      </c>
      <c r="F315" s="8">
        <f>30</f>
        <v>30</v>
      </c>
      <c r="G315" s="8">
        <f>SUM(C315:F315)</f>
        <v>30</v>
      </c>
      <c r="H315" s="8">
        <v>0</v>
      </c>
      <c r="I315" s="8">
        <v>0</v>
      </c>
      <c r="J315" s="8">
        <f t="shared" si="37"/>
        <v>30</v>
      </c>
      <c r="K315" s="8">
        <v>0</v>
      </c>
      <c r="L315" s="8">
        <v>0</v>
      </c>
      <c r="M315" s="8">
        <f t="shared" si="33"/>
        <v>30</v>
      </c>
      <c r="N315" s="8">
        <v>0</v>
      </c>
      <c r="O315" s="8">
        <v>0</v>
      </c>
      <c r="P315" s="8">
        <v>0</v>
      </c>
      <c r="Q315" s="99">
        <f t="shared" si="40"/>
        <v>30</v>
      </c>
    </row>
    <row r="316" spans="1:17" ht="14.95" customHeight="1" x14ac:dyDescent="0.25">
      <c r="A316" s="38" t="s">
        <v>354</v>
      </c>
      <c r="B316" s="33" t="s">
        <v>251</v>
      </c>
      <c r="C316" s="8">
        <v>0</v>
      </c>
      <c r="D316" s="8">
        <v>0</v>
      </c>
      <c r="E316" s="8">
        <v>0</v>
      </c>
      <c r="F316" s="8">
        <f>20</f>
        <v>20</v>
      </c>
      <c r="G316" s="8">
        <f>SUM(C316:F316)</f>
        <v>20</v>
      </c>
      <c r="H316" s="8">
        <v>0</v>
      </c>
      <c r="I316" s="8">
        <v>0</v>
      </c>
      <c r="J316" s="8">
        <f t="shared" si="37"/>
        <v>20</v>
      </c>
      <c r="K316" s="8">
        <v>0</v>
      </c>
      <c r="L316" s="8">
        <v>0</v>
      </c>
      <c r="M316" s="8">
        <f t="shared" si="33"/>
        <v>20</v>
      </c>
      <c r="N316" s="8">
        <v>0</v>
      </c>
      <c r="O316" s="8">
        <v>0</v>
      </c>
      <c r="P316" s="8">
        <v>0</v>
      </c>
      <c r="Q316" s="99">
        <f t="shared" si="40"/>
        <v>20</v>
      </c>
    </row>
    <row r="317" spans="1:17" ht="26.5" customHeight="1" x14ac:dyDescent="0.25">
      <c r="A317" s="38" t="s">
        <v>460</v>
      </c>
      <c r="B317" s="33" t="s">
        <v>454</v>
      </c>
      <c r="C317" s="8">
        <v>0</v>
      </c>
      <c r="D317" s="8"/>
      <c r="E317" s="8"/>
      <c r="F317" s="8"/>
      <c r="G317" s="8"/>
      <c r="H317" s="8"/>
      <c r="I317" s="8"/>
      <c r="J317" s="8"/>
      <c r="K317" s="8"/>
      <c r="L317" s="8"/>
      <c r="M317" s="8">
        <v>0</v>
      </c>
      <c r="N317" s="8">
        <f>10</f>
        <v>10</v>
      </c>
      <c r="O317" s="8">
        <v>0</v>
      </c>
      <c r="P317" s="8">
        <v>0</v>
      </c>
      <c r="Q317" s="99">
        <f t="shared" si="40"/>
        <v>10</v>
      </c>
    </row>
    <row r="318" spans="1:17" ht="14.95" customHeight="1" x14ac:dyDescent="0.25">
      <c r="A318" s="38" t="s">
        <v>385</v>
      </c>
      <c r="B318" s="33" t="s">
        <v>261</v>
      </c>
      <c r="C318" s="8">
        <v>0</v>
      </c>
      <c r="D318" s="8"/>
      <c r="E318" s="8"/>
      <c r="F318" s="8"/>
      <c r="G318" s="8">
        <v>0</v>
      </c>
      <c r="H318" s="8">
        <v>0</v>
      </c>
      <c r="I318" s="8">
        <f>29</f>
        <v>29</v>
      </c>
      <c r="J318" s="8">
        <f>SUM(G318:I318)</f>
        <v>29</v>
      </c>
      <c r="K318" s="8">
        <v>0</v>
      </c>
      <c r="L318" s="8">
        <v>0</v>
      </c>
      <c r="M318" s="8">
        <f t="shared" si="33"/>
        <v>29</v>
      </c>
      <c r="N318" s="8">
        <v>0</v>
      </c>
      <c r="O318" s="8">
        <v>0</v>
      </c>
      <c r="P318" s="8">
        <v>0</v>
      </c>
      <c r="Q318" s="99">
        <f t="shared" si="40"/>
        <v>29</v>
      </c>
    </row>
    <row r="319" spans="1:17" ht="14.95" customHeight="1" x14ac:dyDescent="0.25">
      <c r="A319" s="38" t="s">
        <v>386</v>
      </c>
      <c r="B319" s="33" t="s">
        <v>261</v>
      </c>
      <c r="C319" s="8">
        <v>0</v>
      </c>
      <c r="D319" s="8"/>
      <c r="E319" s="8"/>
      <c r="F319" s="8"/>
      <c r="G319" s="8">
        <v>0</v>
      </c>
      <c r="H319" s="8">
        <v>0</v>
      </c>
      <c r="I319" s="8">
        <f>12</f>
        <v>12</v>
      </c>
      <c r="J319" s="8">
        <f>SUM(G319:I319)</f>
        <v>12</v>
      </c>
      <c r="K319" s="8">
        <v>0</v>
      </c>
      <c r="L319" s="8">
        <v>0</v>
      </c>
      <c r="M319" s="8">
        <f t="shared" si="33"/>
        <v>12</v>
      </c>
      <c r="N319" s="8">
        <v>0</v>
      </c>
      <c r="O319" s="8">
        <v>0</v>
      </c>
      <c r="P319" s="8">
        <v>0</v>
      </c>
      <c r="Q319" s="99">
        <f t="shared" si="40"/>
        <v>12</v>
      </c>
    </row>
    <row r="320" spans="1:17" ht="14.95" customHeight="1" x14ac:dyDescent="0.25">
      <c r="A320" s="7" t="s">
        <v>144</v>
      </c>
      <c r="B320" s="33" t="s">
        <v>228</v>
      </c>
      <c r="C320" s="8">
        <v>668</v>
      </c>
      <c r="D320" s="8">
        <v>0</v>
      </c>
      <c r="E320" s="8">
        <v>0</v>
      </c>
      <c r="F320" s="8">
        <v>0</v>
      </c>
      <c r="G320" s="8">
        <f t="shared" si="30"/>
        <v>668</v>
      </c>
      <c r="H320" s="8">
        <v>0</v>
      </c>
      <c r="I320" s="8">
        <v>0</v>
      </c>
      <c r="J320" s="8">
        <f t="shared" si="37"/>
        <v>668</v>
      </c>
      <c r="K320" s="8">
        <v>0</v>
      </c>
      <c r="L320" s="8">
        <v>0</v>
      </c>
      <c r="M320" s="8">
        <f t="shared" si="33"/>
        <v>668</v>
      </c>
      <c r="N320" s="8">
        <v>0</v>
      </c>
      <c r="O320" s="8">
        <v>0</v>
      </c>
      <c r="P320" s="8">
        <v>0</v>
      </c>
      <c r="Q320" s="99">
        <f t="shared" si="40"/>
        <v>668</v>
      </c>
    </row>
    <row r="321" spans="1:18" ht="14.95" customHeight="1" x14ac:dyDescent="0.25">
      <c r="A321" s="7" t="s">
        <v>145</v>
      </c>
      <c r="B321" s="33" t="s">
        <v>228</v>
      </c>
      <c r="C321" s="8">
        <v>526</v>
      </c>
      <c r="D321" s="8">
        <v>0</v>
      </c>
      <c r="E321" s="8">
        <v>0</v>
      </c>
      <c r="F321" s="8">
        <v>0</v>
      </c>
      <c r="G321" s="8">
        <f t="shared" si="30"/>
        <v>526</v>
      </c>
      <c r="H321" s="8">
        <v>0</v>
      </c>
      <c r="I321" s="8">
        <v>0</v>
      </c>
      <c r="J321" s="8">
        <f t="shared" si="37"/>
        <v>526</v>
      </c>
      <c r="K321" s="8">
        <v>0</v>
      </c>
      <c r="L321" s="8">
        <v>0</v>
      </c>
      <c r="M321" s="8">
        <f t="shared" si="33"/>
        <v>526</v>
      </c>
      <c r="N321" s="8">
        <v>0</v>
      </c>
      <c r="O321" s="8">
        <v>0</v>
      </c>
      <c r="P321" s="8">
        <v>0</v>
      </c>
      <c r="Q321" s="99">
        <f t="shared" si="40"/>
        <v>526</v>
      </c>
    </row>
    <row r="322" spans="1:18" ht="14.95" customHeight="1" x14ac:dyDescent="0.25">
      <c r="A322" s="7" t="s">
        <v>146</v>
      </c>
      <c r="B322" s="33" t="s">
        <v>228</v>
      </c>
      <c r="C322" s="8">
        <v>162</v>
      </c>
      <c r="D322" s="8">
        <v>0</v>
      </c>
      <c r="E322" s="8">
        <v>0</v>
      </c>
      <c r="F322" s="8">
        <v>0</v>
      </c>
      <c r="G322" s="8">
        <f t="shared" ref="G322:G393" si="41">SUM(C322:F322)</f>
        <v>162</v>
      </c>
      <c r="H322" s="8">
        <v>0</v>
      </c>
      <c r="I322" s="8">
        <v>0</v>
      </c>
      <c r="J322" s="8">
        <f t="shared" si="37"/>
        <v>162</v>
      </c>
      <c r="K322" s="8">
        <v>0</v>
      </c>
      <c r="L322" s="8">
        <v>0</v>
      </c>
      <c r="M322" s="8">
        <f t="shared" si="33"/>
        <v>162</v>
      </c>
      <c r="N322" s="8">
        <v>0</v>
      </c>
      <c r="O322" s="8">
        <v>0</v>
      </c>
      <c r="P322" s="8">
        <v>0</v>
      </c>
      <c r="Q322" s="99">
        <f t="shared" si="40"/>
        <v>162</v>
      </c>
    </row>
    <row r="323" spans="1:18" ht="14.95" customHeight="1" x14ac:dyDescent="0.25">
      <c r="A323" s="7" t="s">
        <v>147</v>
      </c>
      <c r="B323" s="33" t="s">
        <v>228</v>
      </c>
      <c r="C323" s="8">
        <v>541</v>
      </c>
      <c r="D323" s="8">
        <v>0</v>
      </c>
      <c r="E323" s="8">
        <v>0</v>
      </c>
      <c r="F323" s="8">
        <v>0</v>
      </c>
      <c r="G323" s="8">
        <f t="shared" si="41"/>
        <v>541</v>
      </c>
      <c r="H323" s="8">
        <v>0</v>
      </c>
      <c r="I323" s="8">
        <v>0</v>
      </c>
      <c r="J323" s="8">
        <f t="shared" si="37"/>
        <v>541</v>
      </c>
      <c r="K323" s="8">
        <v>0</v>
      </c>
      <c r="L323" s="8">
        <v>0</v>
      </c>
      <c r="M323" s="8">
        <f t="shared" si="33"/>
        <v>541</v>
      </c>
      <c r="N323" s="8">
        <v>0</v>
      </c>
      <c r="O323" s="8">
        <v>0</v>
      </c>
      <c r="P323" s="8">
        <v>0</v>
      </c>
      <c r="Q323" s="99">
        <f t="shared" si="40"/>
        <v>541</v>
      </c>
    </row>
    <row r="324" spans="1:18" ht="14.95" customHeight="1" x14ac:dyDescent="0.25">
      <c r="A324" s="7" t="s">
        <v>148</v>
      </c>
      <c r="B324" s="33" t="s">
        <v>228</v>
      </c>
      <c r="C324" s="8">
        <v>200</v>
      </c>
      <c r="D324" s="8">
        <v>0</v>
      </c>
      <c r="E324" s="8">
        <v>0</v>
      </c>
      <c r="F324" s="8">
        <v>0</v>
      </c>
      <c r="G324" s="8">
        <f t="shared" si="41"/>
        <v>200</v>
      </c>
      <c r="H324" s="8">
        <v>0</v>
      </c>
      <c r="I324" s="8">
        <v>0</v>
      </c>
      <c r="J324" s="8">
        <f t="shared" si="37"/>
        <v>200</v>
      </c>
      <c r="K324" s="8">
        <v>0</v>
      </c>
      <c r="L324" s="8">
        <v>0</v>
      </c>
      <c r="M324" s="8">
        <f t="shared" si="33"/>
        <v>200</v>
      </c>
      <c r="N324" s="8">
        <v>0</v>
      </c>
      <c r="O324" s="8">
        <v>0</v>
      </c>
      <c r="P324" s="8">
        <v>0</v>
      </c>
      <c r="Q324" s="99">
        <f t="shared" si="40"/>
        <v>200</v>
      </c>
    </row>
    <row r="325" spans="1:18" ht="14.95" customHeight="1" x14ac:dyDescent="0.25">
      <c r="A325" s="7" t="s">
        <v>423</v>
      </c>
      <c r="B325" s="33" t="s">
        <v>228</v>
      </c>
      <c r="C325" s="8">
        <v>0</v>
      </c>
      <c r="D325" s="8"/>
      <c r="E325" s="8"/>
      <c r="F325" s="8"/>
      <c r="G325" s="8"/>
      <c r="H325" s="8"/>
      <c r="I325" s="8"/>
      <c r="J325" s="8">
        <v>0</v>
      </c>
      <c r="K325" s="8">
        <v>0</v>
      </c>
      <c r="L325" s="8">
        <f>50</f>
        <v>50</v>
      </c>
      <c r="M325" s="8">
        <f>SUM(J325:L325)</f>
        <v>50</v>
      </c>
      <c r="N325" s="8">
        <v>0</v>
      </c>
      <c r="O325" s="8">
        <v>0</v>
      </c>
      <c r="P325" s="8">
        <v>0</v>
      </c>
      <c r="Q325" s="99">
        <f t="shared" si="40"/>
        <v>50</v>
      </c>
    </row>
    <row r="326" spans="1:18" ht="14.95" customHeight="1" x14ac:dyDescent="0.25">
      <c r="A326" s="7" t="s">
        <v>424</v>
      </c>
      <c r="B326" s="33" t="s">
        <v>228</v>
      </c>
      <c r="C326" s="8">
        <v>0</v>
      </c>
      <c r="D326" s="8"/>
      <c r="E326" s="8"/>
      <c r="F326" s="8"/>
      <c r="G326" s="8"/>
      <c r="H326" s="8"/>
      <c r="I326" s="8"/>
      <c r="J326" s="8">
        <v>0</v>
      </c>
      <c r="K326" s="8">
        <v>0</v>
      </c>
      <c r="L326" s="8">
        <f>20</f>
        <v>20</v>
      </c>
      <c r="M326" s="8">
        <f>SUM(J326:L326)</f>
        <v>20</v>
      </c>
      <c r="N326" s="8">
        <v>0</v>
      </c>
      <c r="O326" s="8">
        <v>0</v>
      </c>
      <c r="P326" s="8">
        <v>0</v>
      </c>
      <c r="Q326" s="99">
        <f t="shared" si="40"/>
        <v>20</v>
      </c>
    </row>
    <row r="327" spans="1:18" ht="24.45" customHeight="1" x14ac:dyDescent="0.25">
      <c r="A327" s="7" t="s">
        <v>337</v>
      </c>
      <c r="B327" s="33" t="s">
        <v>228</v>
      </c>
      <c r="C327" s="8">
        <v>0</v>
      </c>
      <c r="D327" s="8">
        <v>0</v>
      </c>
      <c r="E327" s="8">
        <v>0</v>
      </c>
      <c r="F327" s="8">
        <f>35</f>
        <v>35</v>
      </c>
      <c r="G327" s="8">
        <f>SUM(C327:F327)</f>
        <v>35</v>
      </c>
      <c r="H327" s="8">
        <v>0</v>
      </c>
      <c r="I327" s="8">
        <v>0</v>
      </c>
      <c r="J327" s="8">
        <f t="shared" si="37"/>
        <v>35</v>
      </c>
      <c r="K327" s="8">
        <v>0</v>
      </c>
      <c r="L327" s="8">
        <v>0</v>
      </c>
      <c r="M327" s="8">
        <f t="shared" si="33"/>
        <v>35</v>
      </c>
      <c r="N327" s="8">
        <v>0</v>
      </c>
      <c r="O327" s="8">
        <v>0</v>
      </c>
      <c r="P327" s="8">
        <v>0</v>
      </c>
      <c r="Q327" s="99">
        <f t="shared" si="40"/>
        <v>35</v>
      </c>
    </row>
    <row r="328" spans="1:18" ht="27.7" customHeight="1" x14ac:dyDescent="0.25">
      <c r="A328" s="7" t="s">
        <v>335</v>
      </c>
      <c r="B328" s="33" t="s">
        <v>228</v>
      </c>
      <c r="C328" s="8">
        <v>0</v>
      </c>
      <c r="D328" s="8">
        <v>0</v>
      </c>
      <c r="E328" s="8">
        <v>0</v>
      </c>
      <c r="F328" s="8">
        <f>35</f>
        <v>35</v>
      </c>
      <c r="G328" s="8">
        <f>SUM(C328:F328)</f>
        <v>35</v>
      </c>
      <c r="H328" s="8">
        <v>0</v>
      </c>
      <c r="I328" s="8">
        <v>0</v>
      </c>
      <c r="J328" s="8">
        <f t="shared" si="37"/>
        <v>35</v>
      </c>
      <c r="K328" s="8">
        <v>0</v>
      </c>
      <c r="L328" s="8">
        <v>0</v>
      </c>
      <c r="M328" s="8">
        <f t="shared" si="33"/>
        <v>35</v>
      </c>
      <c r="N328" s="8">
        <v>0</v>
      </c>
      <c r="O328" s="8">
        <v>0</v>
      </c>
      <c r="P328" s="8">
        <v>0</v>
      </c>
      <c r="Q328" s="99">
        <f t="shared" si="40"/>
        <v>35</v>
      </c>
    </row>
    <row r="329" spans="1:18" ht="14.95" customHeight="1" x14ac:dyDescent="0.25">
      <c r="A329" s="7" t="s">
        <v>269</v>
      </c>
      <c r="B329" s="33" t="s">
        <v>228</v>
      </c>
      <c r="C329" s="8">
        <v>0</v>
      </c>
      <c r="D329" s="8">
        <f>35</f>
        <v>35</v>
      </c>
      <c r="E329" s="8">
        <v>0</v>
      </c>
      <c r="F329" s="8">
        <v>0</v>
      </c>
      <c r="G329" s="8">
        <f t="shared" si="41"/>
        <v>35</v>
      </c>
      <c r="H329" s="8">
        <v>0</v>
      </c>
      <c r="I329" s="8">
        <v>0</v>
      </c>
      <c r="J329" s="8">
        <f t="shared" si="37"/>
        <v>35</v>
      </c>
      <c r="K329" s="8">
        <v>0</v>
      </c>
      <c r="L329" s="8">
        <v>0</v>
      </c>
      <c r="M329" s="8">
        <f t="shared" si="33"/>
        <v>35</v>
      </c>
      <c r="N329" s="8">
        <v>0</v>
      </c>
      <c r="O329" s="8">
        <v>0</v>
      </c>
      <c r="P329" s="8">
        <v>0</v>
      </c>
      <c r="Q329" s="99">
        <f t="shared" si="40"/>
        <v>35</v>
      </c>
    </row>
    <row r="330" spans="1:18" ht="14.95" customHeight="1" x14ac:dyDescent="0.25">
      <c r="A330" s="17" t="s">
        <v>149</v>
      </c>
      <c r="B330" s="33" t="s">
        <v>228</v>
      </c>
      <c r="C330" s="8">
        <v>200</v>
      </c>
      <c r="D330" s="8">
        <v>0</v>
      </c>
      <c r="E330" s="8">
        <v>0</v>
      </c>
      <c r="F330" s="8">
        <v>0</v>
      </c>
      <c r="G330" s="8">
        <f t="shared" si="41"/>
        <v>200</v>
      </c>
      <c r="H330" s="8">
        <v>0</v>
      </c>
      <c r="I330" s="8">
        <v>0</v>
      </c>
      <c r="J330" s="8">
        <f t="shared" si="37"/>
        <v>200</v>
      </c>
      <c r="K330" s="8">
        <v>0</v>
      </c>
      <c r="L330" s="8">
        <v>0</v>
      </c>
      <c r="M330" s="8">
        <f t="shared" ref="M330:M397" si="42">SUM(J330:L330)</f>
        <v>200</v>
      </c>
      <c r="N330" s="8">
        <v>0</v>
      </c>
      <c r="O330" s="8">
        <v>0</v>
      </c>
      <c r="P330" s="8">
        <v>0</v>
      </c>
      <c r="Q330" s="99">
        <f t="shared" si="40"/>
        <v>200</v>
      </c>
    </row>
    <row r="331" spans="1:18" ht="14.95" customHeight="1" x14ac:dyDescent="0.25">
      <c r="A331" s="7" t="s">
        <v>150</v>
      </c>
      <c r="B331" s="33" t="s">
        <v>228</v>
      </c>
      <c r="C331" s="8">
        <v>100</v>
      </c>
      <c r="D331" s="8">
        <v>0</v>
      </c>
      <c r="E331" s="8">
        <v>0</v>
      </c>
      <c r="F331" s="8">
        <v>0</v>
      </c>
      <c r="G331" s="8">
        <f t="shared" si="41"/>
        <v>100</v>
      </c>
      <c r="H331" s="8">
        <v>0</v>
      </c>
      <c r="I331" s="8">
        <v>0</v>
      </c>
      <c r="J331" s="8">
        <f t="shared" si="37"/>
        <v>100</v>
      </c>
      <c r="K331" s="8">
        <v>0</v>
      </c>
      <c r="L331" s="8">
        <v>0</v>
      </c>
      <c r="M331" s="8">
        <f t="shared" si="42"/>
        <v>100</v>
      </c>
      <c r="N331" s="8">
        <v>0</v>
      </c>
      <c r="O331" s="8">
        <v>0</v>
      </c>
      <c r="P331" s="8">
        <v>0</v>
      </c>
      <c r="Q331" s="99">
        <f t="shared" si="40"/>
        <v>100</v>
      </c>
    </row>
    <row r="332" spans="1:18" ht="14.95" customHeight="1" thickBot="1" x14ac:dyDescent="0.3">
      <c r="A332" s="35" t="s">
        <v>151</v>
      </c>
      <c r="B332" s="48"/>
      <c r="C332" s="10">
        <v>8239.5</v>
      </c>
      <c r="D332" s="10">
        <f>76</f>
        <v>76</v>
      </c>
      <c r="E332" s="10">
        <v>-3000</v>
      </c>
      <c r="F332" s="10">
        <f>-145-20</f>
        <v>-165</v>
      </c>
      <c r="G332" s="10">
        <f>SUM(C332:F332)+3</f>
        <v>5153.5</v>
      </c>
      <c r="H332" s="10">
        <v>600.29999999999995</v>
      </c>
      <c r="I332" s="10">
        <f>-181-30</f>
        <v>-211</v>
      </c>
      <c r="J332" s="10">
        <f>SUM(G332:I332)+221.15</f>
        <v>5763.95</v>
      </c>
      <c r="K332" s="10">
        <f>535</f>
        <v>535</v>
      </c>
      <c r="L332" s="10">
        <f>-86</f>
        <v>-86</v>
      </c>
      <c r="M332" s="10">
        <f t="shared" si="42"/>
        <v>6212.95</v>
      </c>
      <c r="N332" s="10">
        <f>-10</f>
        <v>-10</v>
      </c>
      <c r="O332" s="10">
        <f>-1823</f>
        <v>-1823</v>
      </c>
      <c r="P332" s="10">
        <f>-63</f>
        <v>-63</v>
      </c>
      <c r="Q332" s="101">
        <f t="shared" si="40"/>
        <v>4316.95</v>
      </c>
    </row>
    <row r="333" spans="1:18" ht="15.65" customHeight="1" thickBot="1" x14ac:dyDescent="0.3">
      <c r="A333" s="36" t="s">
        <v>152</v>
      </c>
      <c r="B333" s="30"/>
      <c r="C333" s="22">
        <f>SUM(C335:C335)</f>
        <v>2548</v>
      </c>
      <c r="D333" s="22">
        <f t="shared" ref="D333:I333" si="43">SUM(D335)</f>
        <v>4319</v>
      </c>
      <c r="E333" s="22">
        <f t="shared" si="43"/>
        <v>2170</v>
      </c>
      <c r="F333" s="22">
        <f t="shared" si="43"/>
        <v>109</v>
      </c>
      <c r="G333" s="22">
        <f t="shared" si="43"/>
        <v>9146</v>
      </c>
      <c r="H333" s="22">
        <f t="shared" si="43"/>
        <v>0</v>
      </c>
      <c r="I333" s="22">
        <f t="shared" si="43"/>
        <v>872</v>
      </c>
      <c r="J333" s="22">
        <f t="shared" ref="J333:O333" si="44">SUM(J335)</f>
        <v>9248</v>
      </c>
      <c r="K333" s="22">
        <f t="shared" si="44"/>
        <v>0</v>
      </c>
      <c r="L333" s="22">
        <f t="shared" si="44"/>
        <v>851</v>
      </c>
      <c r="M333" s="22">
        <f t="shared" si="44"/>
        <v>10099</v>
      </c>
      <c r="N333" s="22">
        <f t="shared" si="44"/>
        <v>0</v>
      </c>
      <c r="O333" s="22">
        <f t="shared" si="44"/>
        <v>-290</v>
      </c>
      <c r="P333" s="22">
        <f>SUM(P335)</f>
        <v>-892</v>
      </c>
      <c r="Q333" s="105">
        <f t="shared" si="40"/>
        <v>8917</v>
      </c>
      <c r="R333" s="87"/>
    </row>
    <row r="334" spans="1:18" ht="14.95" customHeight="1" x14ac:dyDescent="0.25">
      <c r="A334" s="37" t="s">
        <v>25</v>
      </c>
      <c r="B334" s="27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99"/>
    </row>
    <row r="335" spans="1:18" ht="14.95" customHeight="1" thickBot="1" x14ac:dyDescent="0.3">
      <c r="A335" s="35" t="s">
        <v>153</v>
      </c>
      <c r="B335" s="25"/>
      <c r="C335" s="10">
        <v>2548</v>
      </c>
      <c r="D335" s="10">
        <f>605+64+650+3000</f>
        <v>4319</v>
      </c>
      <c r="E335" s="10">
        <v>2170</v>
      </c>
      <c r="F335" s="10">
        <f>109</f>
        <v>109</v>
      </c>
      <c r="G335" s="10">
        <f t="shared" si="41"/>
        <v>9146</v>
      </c>
      <c r="H335" s="10">
        <v>0</v>
      </c>
      <c r="I335" s="10">
        <f>730+22+120</f>
        <v>872</v>
      </c>
      <c r="J335" s="10">
        <f>SUM(G335:I335)-770</f>
        <v>9248</v>
      </c>
      <c r="K335" s="10">
        <v>0</v>
      </c>
      <c r="L335" s="10">
        <f>671+130+50</f>
        <v>851</v>
      </c>
      <c r="M335" s="10">
        <f t="shared" si="42"/>
        <v>10099</v>
      </c>
      <c r="N335" s="10">
        <v>0</v>
      </c>
      <c r="O335" s="10">
        <f>-90-200</f>
        <v>-290</v>
      </c>
      <c r="P335" s="10">
        <f>-892</f>
        <v>-892</v>
      </c>
      <c r="Q335" s="101">
        <f t="shared" si="40"/>
        <v>8917</v>
      </c>
    </row>
    <row r="336" spans="1:18" ht="15.65" customHeight="1" thickBot="1" x14ac:dyDescent="0.3">
      <c r="A336" s="36" t="s">
        <v>154</v>
      </c>
      <c r="B336" s="30"/>
      <c r="C336" s="22">
        <f t="shared" ref="C336:I336" si="45">SUM(C338:C359)</f>
        <v>19921.5</v>
      </c>
      <c r="D336" s="22">
        <f t="shared" si="45"/>
        <v>202.87</v>
      </c>
      <c r="E336" s="22">
        <f t="shared" si="45"/>
        <v>228.54</v>
      </c>
      <c r="F336" s="22">
        <f t="shared" si="45"/>
        <v>0</v>
      </c>
      <c r="G336" s="22">
        <f t="shared" si="45"/>
        <v>20352.91</v>
      </c>
      <c r="H336" s="22">
        <f t="shared" si="45"/>
        <v>-186</v>
      </c>
      <c r="I336" s="22">
        <f t="shared" si="45"/>
        <v>74.8</v>
      </c>
      <c r="J336" s="22">
        <f t="shared" ref="J336:O336" si="46">SUM(J338:J359)</f>
        <v>20641.71</v>
      </c>
      <c r="K336" s="22">
        <f t="shared" si="46"/>
        <v>-300</v>
      </c>
      <c r="L336" s="22">
        <f t="shared" si="46"/>
        <v>600</v>
      </c>
      <c r="M336" s="22">
        <f t="shared" si="46"/>
        <v>20941.71</v>
      </c>
      <c r="N336" s="22">
        <f t="shared" si="46"/>
        <v>-72</v>
      </c>
      <c r="O336" s="22">
        <f t="shared" si="46"/>
        <v>-1200.52</v>
      </c>
      <c r="P336" s="22">
        <f>SUM(P338:P359)</f>
        <v>-94.310000000000016</v>
      </c>
      <c r="Q336" s="105">
        <f t="shared" si="40"/>
        <v>19574.879999999997</v>
      </c>
      <c r="R336" s="87"/>
    </row>
    <row r="337" spans="1:17" ht="14.95" customHeight="1" x14ac:dyDescent="0.25">
      <c r="A337" s="37" t="s">
        <v>25</v>
      </c>
      <c r="B337" s="27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99"/>
    </row>
    <row r="338" spans="1:17" ht="26.35" customHeight="1" x14ac:dyDescent="0.25">
      <c r="A338" s="7" t="s">
        <v>243</v>
      </c>
      <c r="B338" s="33" t="s">
        <v>201</v>
      </c>
      <c r="C338" s="8">
        <v>600</v>
      </c>
      <c r="D338" s="8">
        <v>0</v>
      </c>
      <c r="E338" s="8">
        <v>0</v>
      </c>
      <c r="F338" s="8">
        <v>0</v>
      </c>
      <c r="G338" s="8">
        <f t="shared" si="41"/>
        <v>600</v>
      </c>
      <c r="H338" s="8">
        <v>-300</v>
      </c>
      <c r="I338" s="8">
        <v>0</v>
      </c>
      <c r="J338" s="8">
        <f t="shared" si="37"/>
        <v>300</v>
      </c>
      <c r="K338" s="8">
        <v>0</v>
      </c>
      <c r="L338" s="8">
        <v>0</v>
      </c>
      <c r="M338" s="8">
        <f t="shared" si="42"/>
        <v>300</v>
      </c>
      <c r="N338" s="8">
        <v>0</v>
      </c>
      <c r="O338" s="8">
        <v>0</v>
      </c>
      <c r="P338" s="8">
        <v>0</v>
      </c>
      <c r="Q338" s="99">
        <f t="shared" si="40"/>
        <v>300</v>
      </c>
    </row>
    <row r="339" spans="1:17" ht="23.1" customHeight="1" x14ac:dyDescent="0.25">
      <c r="A339" s="7" t="s">
        <v>242</v>
      </c>
      <c r="B339" s="33" t="s">
        <v>123</v>
      </c>
      <c r="C339" s="8">
        <v>660</v>
      </c>
      <c r="D339" s="8">
        <v>0</v>
      </c>
      <c r="E339" s="8">
        <v>0</v>
      </c>
      <c r="F339" s="8">
        <v>0</v>
      </c>
      <c r="G339" s="8">
        <f t="shared" si="41"/>
        <v>660</v>
      </c>
      <c r="H339" s="8">
        <v>-166</v>
      </c>
      <c r="I339" s="8">
        <v>0</v>
      </c>
      <c r="J339" s="8">
        <f t="shared" si="37"/>
        <v>494</v>
      </c>
      <c r="K339" s="8">
        <v>0</v>
      </c>
      <c r="L339" s="8">
        <v>0</v>
      </c>
      <c r="M339" s="8">
        <f t="shared" si="42"/>
        <v>494</v>
      </c>
      <c r="N339" s="8">
        <v>0</v>
      </c>
      <c r="O339" s="8">
        <v>0</v>
      </c>
      <c r="P339" s="8">
        <v>0</v>
      </c>
      <c r="Q339" s="99">
        <f t="shared" si="40"/>
        <v>494</v>
      </c>
    </row>
    <row r="340" spans="1:17" ht="26.35" customHeight="1" x14ac:dyDescent="0.25">
      <c r="A340" s="7" t="s">
        <v>244</v>
      </c>
      <c r="B340" s="33" t="s">
        <v>245</v>
      </c>
      <c r="C340" s="8">
        <v>300</v>
      </c>
      <c r="D340" s="8">
        <v>0</v>
      </c>
      <c r="E340" s="8">
        <v>0</v>
      </c>
      <c r="F340" s="8">
        <v>0</v>
      </c>
      <c r="G340" s="8">
        <f t="shared" si="41"/>
        <v>300</v>
      </c>
      <c r="H340" s="8">
        <v>0</v>
      </c>
      <c r="I340" s="8">
        <v>0</v>
      </c>
      <c r="J340" s="8">
        <f t="shared" si="37"/>
        <v>300</v>
      </c>
      <c r="K340" s="8">
        <v>0</v>
      </c>
      <c r="L340" s="8">
        <v>0</v>
      </c>
      <c r="M340" s="8">
        <f t="shared" si="42"/>
        <v>300</v>
      </c>
      <c r="N340" s="8">
        <v>0</v>
      </c>
      <c r="O340" s="8">
        <f>-300</f>
        <v>-300</v>
      </c>
      <c r="P340" s="8">
        <v>0</v>
      </c>
      <c r="Q340" s="99">
        <f t="shared" si="40"/>
        <v>0</v>
      </c>
    </row>
    <row r="341" spans="1:17" ht="14.95" customHeight="1" x14ac:dyDescent="0.25">
      <c r="A341" s="7" t="s">
        <v>158</v>
      </c>
      <c r="B341" s="33" t="s">
        <v>228</v>
      </c>
      <c r="C341" s="8">
        <v>7622</v>
      </c>
      <c r="D341" s="8">
        <v>0</v>
      </c>
      <c r="E341" s="8">
        <v>413</v>
      </c>
      <c r="F341" s="8">
        <v>0</v>
      </c>
      <c r="G341" s="8">
        <f t="shared" si="41"/>
        <v>8035</v>
      </c>
      <c r="H341" s="8">
        <v>0</v>
      </c>
      <c r="I341" s="8">
        <v>0</v>
      </c>
      <c r="J341" s="8">
        <f t="shared" si="37"/>
        <v>8035</v>
      </c>
      <c r="K341" s="8">
        <v>0</v>
      </c>
      <c r="L341" s="8">
        <v>0</v>
      </c>
      <c r="M341" s="8">
        <f t="shared" si="42"/>
        <v>8035</v>
      </c>
      <c r="N341" s="8">
        <v>0</v>
      </c>
      <c r="O341" s="8">
        <v>0</v>
      </c>
      <c r="P341" s="8">
        <v>0</v>
      </c>
      <c r="Q341" s="99">
        <f t="shared" si="40"/>
        <v>8035</v>
      </c>
    </row>
    <row r="342" spans="1:17" ht="14.95" customHeight="1" x14ac:dyDescent="0.25">
      <c r="A342" s="7" t="s">
        <v>388</v>
      </c>
      <c r="B342" s="33" t="s">
        <v>251</v>
      </c>
      <c r="C342" s="8">
        <v>0</v>
      </c>
      <c r="D342" s="8"/>
      <c r="E342" s="8"/>
      <c r="F342" s="8"/>
      <c r="G342" s="8">
        <v>0</v>
      </c>
      <c r="H342" s="8">
        <v>0</v>
      </c>
      <c r="I342" s="8">
        <f>40</f>
        <v>40</v>
      </c>
      <c r="J342" s="8">
        <f>SUM(G342:I342)</f>
        <v>40</v>
      </c>
      <c r="K342" s="8">
        <v>0</v>
      </c>
      <c r="L342" s="8">
        <v>0</v>
      </c>
      <c r="M342" s="8">
        <f t="shared" si="42"/>
        <v>40</v>
      </c>
      <c r="N342" s="8">
        <v>0</v>
      </c>
      <c r="O342" s="8">
        <v>0</v>
      </c>
      <c r="P342" s="8">
        <f>38.94</f>
        <v>38.94</v>
      </c>
      <c r="Q342" s="99">
        <f t="shared" si="40"/>
        <v>78.94</v>
      </c>
    </row>
    <row r="343" spans="1:17" ht="14.95" customHeight="1" x14ac:dyDescent="0.25">
      <c r="A343" s="7" t="s">
        <v>391</v>
      </c>
      <c r="B343" s="33" t="s">
        <v>251</v>
      </c>
      <c r="C343" s="8">
        <v>0</v>
      </c>
      <c r="D343" s="8"/>
      <c r="E343" s="8"/>
      <c r="F343" s="8"/>
      <c r="G343" s="8">
        <v>0</v>
      </c>
      <c r="H343" s="8">
        <v>0</v>
      </c>
      <c r="I343" s="8">
        <f>34.8</f>
        <v>34.799999999999997</v>
      </c>
      <c r="J343" s="8">
        <f>SUM(G343:I343)</f>
        <v>34.799999999999997</v>
      </c>
      <c r="K343" s="8">
        <v>0</v>
      </c>
      <c r="L343" s="8">
        <v>0</v>
      </c>
      <c r="M343" s="8">
        <f t="shared" si="42"/>
        <v>34.799999999999997</v>
      </c>
      <c r="N343" s="8">
        <v>0</v>
      </c>
      <c r="O343" s="8">
        <v>0</v>
      </c>
      <c r="P343" s="8">
        <f>34.8</f>
        <v>34.799999999999997</v>
      </c>
      <c r="Q343" s="99">
        <f t="shared" si="40"/>
        <v>69.599999999999994</v>
      </c>
    </row>
    <row r="344" spans="1:17" ht="25.85" customHeight="1" x14ac:dyDescent="0.25">
      <c r="A344" s="7" t="s">
        <v>159</v>
      </c>
      <c r="B344" s="33" t="s">
        <v>251</v>
      </c>
      <c r="C344" s="8">
        <v>850</v>
      </c>
      <c r="D344" s="8">
        <v>0</v>
      </c>
      <c r="E344" s="8">
        <v>0</v>
      </c>
      <c r="F344" s="8">
        <v>0</v>
      </c>
      <c r="G344" s="8">
        <f t="shared" si="41"/>
        <v>850</v>
      </c>
      <c r="H344" s="8">
        <v>0</v>
      </c>
      <c r="I344" s="8">
        <v>0</v>
      </c>
      <c r="J344" s="8">
        <f t="shared" si="37"/>
        <v>850</v>
      </c>
      <c r="K344" s="8">
        <v>0</v>
      </c>
      <c r="L344" s="8">
        <v>0</v>
      </c>
      <c r="M344" s="8">
        <f t="shared" si="42"/>
        <v>850</v>
      </c>
      <c r="N344" s="8">
        <v>0</v>
      </c>
      <c r="O344" s="8">
        <v>0</v>
      </c>
      <c r="P344" s="8">
        <v>0</v>
      </c>
      <c r="Q344" s="99">
        <f t="shared" si="40"/>
        <v>850</v>
      </c>
    </row>
    <row r="345" spans="1:17" ht="27.7" customHeight="1" x14ac:dyDescent="0.25">
      <c r="A345" s="7" t="s">
        <v>160</v>
      </c>
      <c r="B345" s="33"/>
      <c r="C345" s="8">
        <v>355</v>
      </c>
      <c r="D345" s="8">
        <v>0</v>
      </c>
      <c r="E345" s="8">
        <v>0</v>
      </c>
      <c r="F345" s="8">
        <v>0</v>
      </c>
      <c r="G345" s="8">
        <f t="shared" si="41"/>
        <v>355</v>
      </c>
      <c r="H345" s="8">
        <v>0</v>
      </c>
      <c r="I345" s="8">
        <v>0</v>
      </c>
      <c r="J345" s="8">
        <f t="shared" si="37"/>
        <v>355</v>
      </c>
      <c r="K345" s="8">
        <v>0</v>
      </c>
      <c r="L345" s="8">
        <v>0</v>
      </c>
      <c r="M345" s="8">
        <f t="shared" si="42"/>
        <v>355</v>
      </c>
      <c r="N345" s="8">
        <v>0</v>
      </c>
      <c r="O345" s="8">
        <v>0</v>
      </c>
      <c r="P345" s="8">
        <v>0</v>
      </c>
      <c r="Q345" s="99">
        <f t="shared" si="40"/>
        <v>355</v>
      </c>
    </row>
    <row r="346" spans="1:17" ht="14.95" customHeight="1" x14ac:dyDescent="0.25">
      <c r="A346" s="34" t="s">
        <v>161</v>
      </c>
      <c r="B346" s="33" t="s">
        <v>252</v>
      </c>
      <c r="C346" s="8">
        <v>500</v>
      </c>
      <c r="D346" s="8">
        <v>0</v>
      </c>
      <c r="E346" s="8">
        <v>0</v>
      </c>
      <c r="F346" s="8">
        <v>0</v>
      </c>
      <c r="G346" s="8">
        <f t="shared" si="41"/>
        <v>500</v>
      </c>
      <c r="H346" s="8">
        <v>0</v>
      </c>
      <c r="I346" s="8">
        <v>0</v>
      </c>
      <c r="J346" s="8">
        <f t="shared" si="37"/>
        <v>500</v>
      </c>
      <c r="K346" s="8">
        <v>0</v>
      </c>
      <c r="L346" s="8">
        <v>0</v>
      </c>
      <c r="M346" s="8">
        <f t="shared" si="42"/>
        <v>500</v>
      </c>
      <c r="N346" s="8">
        <v>0</v>
      </c>
      <c r="O346" s="8">
        <v>0</v>
      </c>
      <c r="P346" s="8">
        <v>0</v>
      </c>
      <c r="Q346" s="99">
        <f t="shared" si="40"/>
        <v>500</v>
      </c>
    </row>
    <row r="347" spans="1:17" ht="25.85" customHeight="1" x14ac:dyDescent="0.25">
      <c r="A347" s="7" t="s">
        <v>162</v>
      </c>
      <c r="B347" s="33"/>
      <c r="C347" s="8">
        <v>70</v>
      </c>
      <c r="D347" s="8">
        <v>0</v>
      </c>
      <c r="E347" s="8">
        <v>0</v>
      </c>
      <c r="F347" s="8">
        <v>0</v>
      </c>
      <c r="G347" s="8">
        <f t="shared" si="41"/>
        <v>70</v>
      </c>
      <c r="H347" s="8">
        <v>0</v>
      </c>
      <c r="I347" s="8">
        <v>0</v>
      </c>
      <c r="J347" s="8">
        <f t="shared" si="37"/>
        <v>70</v>
      </c>
      <c r="K347" s="8">
        <v>0</v>
      </c>
      <c r="L347" s="8">
        <v>0</v>
      </c>
      <c r="M347" s="8">
        <f t="shared" si="42"/>
        <v>70</v>
      </c>
      <c r="N347" s="8">
        <v>0</v>
      </c>
      <c r="O347" s="8">
        <v>0</v>
      </c>
      <c r="P347" s="8">
        <v>0</v>
      </c>
      <c r="Q347" s="99">
        <f t="shared" si="40"/>
        <v>70</v>
      </c>
    </row>
    <row r="348" spans="1:17" ht="27.7" customHeight="1" x14ac:dyDescent="0.25">
      <c r="A348" s="17" t="s">
        <v>248</v>
      </c>
      <c r="B348" s="33"/>
      <c r="C348" s="8">
        <v>500</v>
      </c>
      <c r="D348" s="8">
        <v>0</v>
      </c>
      <c r="E348" s="8">
        <v>-74.36</v>
      </c>
      <c r="F348" s="8">
        <v>0</v>
      </c>
      <c r="G348" s="8">
        <f t="shared" si="41"/>
        <v>425.64</v>
      </c>
      <c r="H348" s="8">
        <v>0</v>
      </c>
      <c r="I348" s="8">
        <v>0</v>
      </c>
      <c r="J348" s="8">
        <f t="shared" si="37"/>
        <v>425.64</v>
      </c>
      <c r="K348" s="8">
        <v>0</v>
      </c>
      <c r="L348" s="8">
        <v>0</v>
      </c>
      <c r="M348" s="8">
        <f t="shared" si="42"/>
        <v>425.64</v>
      </c>
      <c r="N348" s="8">
        <v>0</v>
      </c>
      <c r="O348" s="8">
        <v>0</v>
      </c>
      <c r="P348" s="8">
        <v>0</v>
      </c>
      <c r="Q348" s="99">
        <f t="shared" si="40"/>
        <v>425.64</v>
      </c>
    </row>
    <row r="349" spans="1:17" ht="14.95" customHeight="1" x14ac:dyDescent="0.25">
      <c r="A349" s="34" t="s">
        <v>163</v>
      </c>
      <c r="B349" s="33"/>
      <c r="C349" s="8">
        <v>1</v>
      </c>
      <c r="D349" s="8">
        <v>0</v>
      </c>
      <c r="E349" s="8">
        <v>0</v>
      </c>
      <c r="F349" s="8">
        <v>0</v>
      </c>
      <c r="G349" s="8">
        <f t="shared" si="41"/>
        <v>1</v>
      </c>
      <c r="H349" s="8">
        <v>0</v>
      </c>
      <c r="I349" s="8">
        <v>0</v>
      </c>
      <c r="J349" s="8">
        <f t="shared" ref="J349:J420" si="47">SUM(G349:I349)</f>
        <v>1</v>
      </c>
      <c r="K349" s="8">
        <v>0</v>
      </c>
      <c r="L349" s="8">
        <v>0</v>
      </c>
      <c r="M349" s="8">
        <f t="shared" si="42"/>
        <v>1</v>
      </c>
      <c r="N349" s="8">
        <v>0</v>
      </c>
      <c r="O349" s="8">
        <v>0</v>
      </c>
      <c r="P349" s="8">
        <v>0</v>
      </c>
      <c r="Q349" s="99">
        <f t="shared" si="40"/>
        <v>1</v>
      </c>
    </row>
    <row r="350" spans="1:17" ht="14.95" customHeight="1" x14ac:dyDescent="0.25">
      <c r="A350" s="34" t="s">
        <v>164</v>
      </c>
      <c r="B350" s="33"/>
      <c r="C350" s="8">
        <v>199</v>
      </c>
      <c r="D350" s="8">
        <v>0</v>
      </c>
      <c r="E350" s="8">
        <v>0</v>
      </c>
      <c r="F350" s="8">
        <v>0</v>
      </c>
      <c r="G350" s="8">
        <f t="shared" si="41"/>
        <v>199</v>
      </c>
      <c r="H350" s="8">
        <v>0</v>
      </c>
      <c r="I350" s="8">
        <v>0</v>
      </c>
      <c r="J350" s="8">
        <f t="shared" si="47"/>
        <v>199</v>
      </c>
      <c r="K350" s="8">
        <v>0</v>
      </c>
      <c r="L350" s="8">
        <v>0</v>
      </c>
      <c r="M350" s="8">
        <f t="shared" si="42"/>
        <v>199</v>
      </c>
      <c r="N350" s="8">
        <v>0</v>
      </c>
      <c r="O350" s="8">
        <v>0</v>
      </c>
      <c r="P350" s="8">
        <v>0</v>
      </c>
      <c r="Q350" s="99">
        <f t="shared" si="40"/>
        <v>199</v>
      </c>
    </row>
    <row r="351" spans="1:17" ht="14.95" customHeight="1" x14ac:dyDescent="0.25">
      <c r="A351" s="34" t="s">
        <v>165</v>
      </c>
      <c r="B351" s="33"/>
      <c r="C351" s="8">
        <v>15</v>
      </c>
      <c r="D351" s="8">
        <v>0</v>
      </c>
      <c r="E351" s="8">
        <v>0</v>
      </c>
      <c r="F351" s="8">
        <v>0</v>
      </c>
      <c r="G351" s="8">
        <f t="shared" si="41"/>
        <v>15</v>
      </c>
      <c r="H351" s="8">
        <v>0</v>
      </c>
      <c r="I351" s="8">
        <v>0</v>
      </c>
      <c r="J351" s="8">
        <f t="shared" si="47"/>
        <v>15</v>
      </c>
      <c r="K351" s="8">
        <v>0</v>
      </c>
      <c r="L351" s="8">
        <v>0</v>
      </c>
      <c r="M351" s="8">
        <f t="shared" si="42"/>
        <v>15</v>
      </c>
      <c r="N351" s="8">
        <v>0</v>
      </c>
      <c r="O351" s="8">
        <v>0</v>
      </c>
      <c r="P351" s="8">
        <v>0</v>
      </c>
      <c r="Q351" s="99">
        <f t="shared" si="40"/>
        <v>15</v>
      </c>
    </row>
    <row r="352" spans="1:17" ht="14.95" customHeight="1" x14ac:dyDescent="0.25">
      <c r="A352" s="7" t="s">
        <v>166</v>
      </c>
      <c r="B352" s="33"/>
      <c r="C352" s="8">
        <v>500</v>
      </c>
      <c r="D352" s="8">
        <v>0</v>
      </c>
      <c r="E352" s="8">
        <v>-220</v>
      </c>
      <c r="F352" s="8">
        <v>0</v>
      </c>
      <c r="G352" s="8">
        <f t="shared" si="41"/>
        <v>280</v>
      </c>
      <c r="H352" s="8">
        <v>0</v>
      </c>
      <c r="I352" s="8">
        <v>0</v>
      </c>
      <c r="J352" s="8">
        <f t="shared" si="47"/>
        <v>280</v>
      </c>
      <c r="K352" s="8">
        <v>0</v>
      </c>
      <c r="L352" s="8">
        <v>0</v>
      </c>
      <c r="M352" s="8">
        <f t="shared" si="42"/>
        <v>280</v>
      </c>
      <c r="N352" s="8">
        <v>0</v>
      </c>
      <c r="O352" s="8">
        <f>-200-80</f>
        <v>-280</v>
      </c>
      <c r="P352" s="8">
        <v>0</v>
      </c>
      <c r="Q352" s="99">
        <f t="shared" si="40"/>
        <v>0</v>
      </c>
    </row>
    <row r="353" spans="1:18" ht="27.2" x14ac:dyDescent="0.25">
      <c r="A353" s="7" t="s">
        <v>278</v>
      </c>
      <c r="B353" s="33"/>
      <c r="C353" s="8">
        <v>0</v>
      </c>
      <c r="D353" s="8">
        <v>0</v>
      </c>
      <c r="E353" s="8">
        <v>20</v>
      </c>
      <c r="F353" s="8">
        <v>0</v>
      </c>
      <c r="G353" s="8">
        <f t="shared" si="41"/>
        <v>20</v>
      </c>
      <c r="H353" s="8">
        <v>0</v>
      </c>
      <c r="I353" s="8">
        <v>0</v>
      </c>
      <c r="J353" s="8">
        <f t="shared" si="47"/>
        <v>20</v>
      </c>
      <c r="K353" s="8">
        <v>0</v>
      </c>
      <c r="L353" s="8">
        <v>0</v>
      </c>
      <c r="M353" s="8">
        <f t="shared" si="42"/>
        <v>20</v>
      </c>
      <c r="N353" s="8">
        <v>0</v>
      </c>
      <c r="O353" s="8">
        <v>0</v>
      </c>
      <c r="P353" s="8">
        <v>0</v>
      </c>
      <c r="Q353" s="99">
        <f t="shared" si="40"/>
        <v>20</v>
      </c>
    </row>
    <row r="354" spans="1:18" ht="14.95" customHeight="1" x14ac:dyDescent="0.25">
      <c r="A354" s="7" t="s">
        <v>249</v>
      </c>
      <c r="B354" s="33" t="s">
        <v>254</v>
      </c>
      <c r="C354" s="8">
        <v>166.03</v>
      </c>
      <c r="D354" s="52">
        <v>0</v>
      </c>
      <c r="E354" s="52">
        <v>0</v>
      </c>
      <c r="F354" s="52">
        <v>0</v>
      </c>
      <c r="G354" s="8">
        <f t="shared" si="41"/>
        <v>166.03</v>
      </c>
      <c r="H354" s="8">
        <v>0</v>
      </c>
      <c r="I354" s="8">
        <v>0</v>
      </c>
      <c r="J354" s="8">
        <f t="shared" si="47"/>
        <v>166.03</v>
      </c>
      <c r="K354" s="8">
        <f>1.52</f>
        <v>1.52</v>
      </c>
      <c r="L354" s="8">
        <v>0</v>
      </c>
      <c r="M354" s="8">
        <f t="shared" si="42"/>
        <v>167.55</v>
      </c>
      <c r="N354" s="8">
        <v>0</v>
      </c>
      <c r="O354" s="8">
        <v>0</v>
      </c>
      <c r="P354" s="8">
        <v>0</v>
      </c>
      <c r="Q354" s="99">
        <f t="shared" si="40"/>
        <v>167.55</v>
      </c>
    </row>
    <row r="355" spans="1:18" ht="38.75" customHeight="1" x14ac:dyDescent="0.25">
      <c r="A355" s="7" t="s">
        <v>408</v>
      </c>
      <c r="B355" s="33"/>
      <c r="C355" s="8">
        <v>0</v>
      </c>
      <c r="D355" s="52"/>
      <c r="E355" s="52"/>
      <c r="F355" s="52"/>
      <c r="G355" s="8"/>
      <c r="H355" s="8"/>
      <c r="I355" s="8"/>
      <c r="J355" s="8">
        <f>80</f>
        <v>80</v>
      </c>
      <c r="K355" s="8">
        <v>0</v>
      </c>
      <c r="L355" s="8">
        <v>0</v>
      </c>
      <c r="M355" s="8">
        <f>SUM(J355:L355)</f>
        <v>80</v>
      </c>
      <c r="N355" s="8">
        <v>0</v>
      </c>
      <c r="O355" s="8">
        <v>0</v>
      </c>
      <c r="P355" s="8">
        <v>0</v>
      </c>
      <c r="Q355" s="99">
        <f t="shared" si="40"/>
        <v>80</v>
      </c>
    </row>
    <row r="356" spans="1:18" ht="38.75" customHeight="1" x14ac:dyDescent="0.25">
      <c r="A356" s="7" t="s">
        <v>409</v>
      </c>
      <c r="B356" s="33"/>
      <c r="C356" s="8">
        <v>0</v>
      </c>
      <c r="D356" s="52"/>
      <c r="E356" s="52"/>
      <c r="F356" s="52"/>
      <c r="G356" s="8"/>
      <c r="H356" s="8"/>
      <c r="I356" s="8"/>
      <c r="J356" s="8">
        <f>160</f>
        <v>160</v>
      </c>
      <c r="K356" s="8">
        <v>0</v>
      </c>
      <c r="L356" s="8">
        <v>0</v>
      </c>
      <c r="M356" s="8">
        <f>SUM(J356:L356)</f>
        <v>160</v>
      </c>
      <c r="N356" s="8">
        <v>0</v>
      </c>
      <c r="O356" s="8">
        <v>0</v>
      </c>
      <c r="P356" s="8">
        <v>0</v>
      </c>
      <c r="Q356" s="99">
        <f t="shared" si="40"/>
        <v>160</v>
      </c>
    </row>
    <row r="357" spans="1:18" ht="38.75" customHeight="1" x14ac:dyDescent="0.25">
      <c r="A357" s="7" t="s">
        <v>410</v>
      </c>
      <c r="B357" s="33"/>
      <c r="C357" s="8">
        <v>0</v>
      </c>
      <c r="D357" s="52"/>
      <c r="E357" s="52"/>
      <c r="F357" s="52"/>
      <c r="G357" s="8"/>
      <c r="H357" s="8"/>
      <c r="I357" s="8"/>
      <c r="J357" s="8">
        <f>80</f>
        <v>80</v>
      </c>
      <c r="K357" s="8">
        <v>0</v>
      </c>
      <c r="L357" s="8">
        <v>0</v>
      </c>
      <c r="M357" s="8">
        <f>SUM(J357:L357)</f>
        <v>80</v>
      </c>
      <c r="N357" s="8">
        <v>0</v>
      </c>
      <c r="O357" s="8">
        <v>0</v>
      </c>
      <c r="P357" s="8">
        <v>0</v>
      </c>
      <c r="Q357" s="99">
        <f t="shared" si="40"/>
        <v>80</v>
      </c>
    </row>
    <row r="358" spans="1:18" ht="53" customHeight="1" x14ac:dyDescent="0.25">
      <c r="A358" s="7" t="s">
        <v>411</v>
      </c>
      <c r="B358" s="33"/>
      <c r="C358" s="8">
        <v>0</v>
      </c>
      <c r="D358" s="52"/>
      <c r="E358" s="52"/>
      <c r="F358" s="52"/>
      <c r="G358" s="8"/>
      <c r="H358" s="8"/>
      <c r="I358" s="8"/>
      <c r="J358" s="8">
        <f>80</f>
        <v>80</v>
      </c>
      <c r="K358" s="8">
        <v>0</v>
      </c>
      <c r="L358" s="8">
        <v>0</v>
      </c>
      <c r="M358" s="8">
        <f>SUM(J358:L358)</f>
        <v>80</v>
      </c>
      <c r="N358" s="8">
        <v>0</v>
      </c>
      <c r="O358" s="8">
        <v>0</v>
      </c>
      <c r="P358" s="8">
        <v>0</v>
      </c>
      <c r="Q358" s="99">
        <f t="shared" si="40"/>
        <v>80</v>
      </c>
    </row>
    <row r="359" spans="1:18" ht="27.85" customHeight="1" thickBot="1" x14ac:dyDescent="0.3">
      <c r="A359" s="9" t="s">
        <v>167</v>
      </c>
      <c r="B359" s="25"/>
      <c r="C359" s="10">
        <v>7583.47</v>
      </c>
      <c r="D359" s="10">
        <f>24.46+178.41</f>
        <v>202.87</v>
      </c>
      <c r="E359" s="10">
        <v>89.9</v>
      </c>
      <c r="F359" s="10">
        <v>0</v>
      </c>
      <c r="G359" s="10">
        <f t="shared" si="41"/>
        <v>7876.24</v>
      </c>
      <c r="H359" s="10">
        <v>280</v>
      </c>
      <c r="I359" s="10">
        <v>0</v>
      </c>
      <c r="J359" s="10">
        <f t="shared" si="47"/>
        <v>8156.24</v>
      </c>
      <c r="K359" s="10">
        <f>-301.52</f>
        <v>-301.52</v>
      </c>
      <c r="L359" s="10">
        <f>600</f>
        <v>600</v>
      </c>
      <c r="M359" s="10">
        <f t="shared" si="42"/>
        <v>8454.7199999999993</v>
      </c>
      <c r="N359" s="10">
        <f>-72</f>
        <v>-72</v>
      </c>
      <c r="O359" s="10">
        <f>-620.52</f>
        <v>-620.52</v>
      </c>
      <c r="P359" s="10">
        <f>-168.05</f>
        <v>-168.05</v>
      </c>
      <c r="Q359" s="101">
        <f t="shared" si="40"/>
        <v>7594.1499999999987</v>
      </c>
    </row>
    <row r="360" spans="1:18" ht="15.65" customHeight="1" thickBot="1" x14ac:dyDescent="0.3">
      <c r="A360" s="36" t="s">
        <v>168</v>
      </c>
      <c r="B360" s="30"/>
      <c r="C360" s="22">
        <f t="shared" ref="C360:I360" si="48">SUM(C362:C363)</f>
        <v>62816</v>
      </c>
      <c r="D360" s="22">
        <f t="shared" si="48"/>
        <v>0</v>
      </c>
      <c r="E360" s="22">
        <f t="shared" si="48"/>
        <v>0</v>
      </c>
      <c r="F360" s="22">
        <f t="shared" si="48"/>
        <v>0</v>
      </c>
      <c r="G360" s="22">
        <f t="shared" si="48"/>
        <v>62816</v>
      </c>
      <c r="H360" s="22">
        <f t="shared" si="48"/>
        <v>0</v>
      </c>
      <c r="I360" s="22">
        <f t="shared" si="48"/>
        <v>1110</v>
      </c>
      <c r="J360" s="22">
        <f>SUM(J362:J363)</f>
        <v>63926</v>
      </c>
      <c r="K360" s="22">
        <f>SUM(K363)</f>
        <v>-1102</v>
      </c>
      <c r="L360" s="22">
        <f>SUM(L362:L363)</f>
        <v>0</v>
      </c>
      <c r="M360" s="22">
        <f>SUM(M362:M363)</f>
        <v>62824</v>
      </c>
      <c r="N360" s="22">
        <f>SUM(N362:N363)</f>
        <v>-51.43</v>
      </c>
      <c r="O360" s="22">
        <f>SUM(O362:O363)</f>
        <v>-1261</v>
      </c>
      <c r="P360" s="22">
        <f>SUM(P362:P363)</f>
        <v>0</v>
      </c>
      <c r="Q360" s="105">
        <f t="shared" si="40"/>
        <v>61511.57</v>
      </c>
      <c r="R360" s="87"/>
    </row>
    <row r="361" spans="1:18" ht="12.9" customHeight="1" x14ac:dyDescent="0.25">
      <c r="A361" s="37" t="s">
        <v>25</v>
      </c>
      <c r="B361" s="27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99"/>
    </row>
    <row r="362" spans="1:18" ht="14.3" customHeight="1" x14ac:dyDescent="0.25">
      <c r="A362" s="34" t="s">
        <v>27</v>
      </c>
      <c r="B362" s="29"/>
      <c r="C362" s="8">
        <v>400</v>
      </c>
      <c r="D362" s="8">
        <v>0</v>
      </c>
      <c r="E362" s="8">
        <v>0</v>
      </c>
      <c r="F362" s="8">
        <v>0</v>
      </c>
      <c r="G362" s="8">
        <f t="shared" si="41"/>
        <v>400</v>
      </c>
      <c r="H362" s="8">
        <v>0</v>
      </c>
      <c r="I362" s="8">
        <v>0</v>
      </c>
      <c r="J362" s="8">
        <f t="shared" si="47"/>
        <v>400</v>
      </c>
      <c r="K362" s="8">
        <v>0</v>
      </c>
      <c r="L362" s="8">
        <v>0</v>
      </c>
      <c r="M362" s="8">
        <f t="shared" si="42"/>
        <v>400</v>
      </c>
      <c r="N362" s="8">
        <v>0</v>
      </c>
      <c r="O362" s="8">
        <f>-100</f>
        <v>-100</v>
      </c>
      <c r="P362" s="8">
        <v>0</v>
      </c>
      <c r="Q362" s="99">
        <f t="shared" si="40"/>
        <v>300</v>
      </c>
    </row>
    <row r="363" spans="1:18" ht="14.3" customHeight="1" thickBot="1" x14ac:dyDescent="0.3">
      <c r="A363" s="35" t="s">
        <v>169</v>
      </c>
      <c r="B363" s="25"/>
      <c r="C363" s="10">
        <v>62416</v>
      </c>
      <c r="D363" s="10">
        <v>0</v>
      </c>
      <c r="E363" s="10">
        <v>0</v>
      </c>
      <c r="F363" s="10">
        <v>0</v>
      </c>
      <c r="G363" s="10">
        <f t="shared" si="41"/>
        <v>62416</v>
      </c>
      <c r="H363" s="10">
        <v>0</v>
      </c>
      <c r="I363" s="10">
        <f>1110</f>
        <v>1110</v>
      </c>
      <c r="J363" s="10">
        <f t="shared" si="47"/>
        <v>63526</v>
      </c>
      <c r="K363" s="10">
        <f>-1102</f>
        <v>-1102</v>
      </c>
      <c r="L363" s="10">
        <v>0</v>
      </c>
      <c r="M363" s="10">
        <f t="shared" si="42"/>
        <v>62424</v>
      </c>
      <c r="N363" s="10">
        <f>-51.43</f>
        <v>-51.43</v>
      </c>
      <c r="O363" s="10">
        <f>-1161</f>
        <v>-1161</v>
      </c>
      <c r="P363" s="10">
        <v>0</v>
      </c>
      <c r="Q363" s="101">
        <f t="shared" si="40"/>
        <v>61211.57</v>
      </c>
    </row>
    <row r="364" spans="1:18" ht="15.65" customHeight="1" thickBot="1" x14ac:dyDescent="0.3">
      <c r="A364" s="36" t="s">
        <v>170</v>
      </c>
      <c r="B364" s="30"/>
      <c r="C364" s="22">
        <f t="shared" ref="C364:I364" si="49">SUM(C366:C367)</f>
        <v>23860.5</v>
      </c>
      <c r="D364" s="22">
        <f t="shared" si="49"/>
        <v>-312</v>
      </c>
      <c r="E364" s="22">
        <f t="shared" si="49"/>
        <v>2000</v>
      </c>
      <c r="F364" s="22">
        <f t="shared" si="49"/>
        <v>2867.74</v>
      </c>
      <c r="G364" s="22">
        <f t="shared" si="49"/>
        <v>31061.24</v>
      </c>
      <c r="H364" s="22">
        <f t="shared" si="49"/>
        <v>253</v>
      </c>
      <c r="I364" s="22">
        <f t="shared" si="49"/>
        <v>3677.1</v>
      </c>
      <c r="J364" s="22">
        <f t="shared" ref="J364:O364" si="50">SUM(J366:J367)</f>
        <v>34991.339999999997</v>
      </c>
      <c r="K364" s="22">
        <f t="shared" si="50"/>
        <v>0</v>
      </c>
      <c r="L364" s="22">
        <f t="shared" si="50"/>
        <v>371.34</v>
      </c>
      <c r="M364" s="22">
        <f t="shared" si="50"/>
        <v>35362.68</v>
      </c>
      <c r="N364" s="22">
        <f t="shared" si="50"/>
        <v>1555</v>
      </c>
      <c r="O364" s="22">
        <f t="shared" si="50"/>
        <v>-1053</v>
      </c>
      <c r="P364" s="22">
        <f>SUM(P366:P367)</f>
        <v>269.7</v>
      </c>
      <c r="Q364" s="105">
        <f t="shared" si="40"/>
        <v>36134.379999999997</v>
      </c>
      <c r="R364" s="87"/>
    </row>
    <row r="365" spans="1:18" ht="11.55" customHeight="1" x14ac:dyDescent="0.25">
      <c r="A365" s="37" t="s">
        <v>25</v>
      </c>
      <c r="B365" s="27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99"/>
    </row>
    <row r="366" spans="1:18" ht="12.9" customHeight="1" x14ac:dyDescent="0.25">
      <c r="A366" s="7" t="s">
        <v>27</v>
      </c>
      <c r="B366" s="29"/>
      <c r="C366" s="8">
        <v>100</v>
      </c>
      <c r="D366" s="8">
        <v>0</v>
      </c>
      <c r="E366" s="8">
        <v>0</v>
      </c>
      <c r="F366" s="8">
        <f>3.99</f>
        <v>3.99</v>
      </c>
      <c r="G366" s="8">
        <f t="shared" si="41"/>
        <v>103.99</v>
      </c>
      <c r="H366" s="8">
        <v>0</v>
      </c>
      <c r="I366" s="8">
        <v>0</v>
      </c>
      <c r="J366" s="8">
        <f t="shared" si="47"/>
        <v>103.99</v>
      </c>
      <c r="K366" s="8">
        <v>0</v>
      </c>
      <c r="L366" s="8">
        <f>2.34</f>
        <v>2.34</v>
      </c>
      <c r="M366" s="8">
        <f t="shared" si="42"/>
        <v>106.33</v>
      </c>
      <c r="N366" s="8">
        <v>0</v>
      </c>
      <c r="O366" s="8">
        <v>0</v>
      </c>
      <c r="P366" s="8">
        <v>0</v>
      </c>
      <c r="Q366" s="99">
        <f t="shared" si="40"/>
        <v>106.33</v>
      </c>
    </row>
    <row r="367" spans="1:18" ht="14.95" customHeight="1" x14ac:dyDescent="0.25">
      <c r="A367" s="7" t="s">
        <v>171</v>
      </c>
      <c r="B367" s="29"/>
      <c r="C367" s="8">
        <v>23760.5</v>
      </c>
      <c r="D367" s="8">
        <f>-150-162</f>
        <v>-312</v>
      </c>
      <c r="E367" s="8">
        <v>2000</v>
      </c>
      <c r="F367" s="8">
        <f>413.82+710.13-231+1885.5+85.3</f>
        <v>2863.75</v>
      </c>
      <c r="G367" s="8">
        <f>SUM(C367:F367)+2645</f>
        <v>30957.25</v>
      </c>
      <c r="H367" s="8">
        <v>253</v>
      </c>
      <c r="I367" s="8">
        <f>3137.5+539.6</f>
        <v>3677.1</v>
      </c>
      <c r="J367" s="8">
        <f t="shared" si="47"/>
        <v>34887.35</v>
      </c>
      <c r="K367" s="8">
        <v>0</v>
      </c>
      <c r="L367" s="8">
        <f>369</f>
        <v>369</v>
      </c>
      <c r="M367" s="8">
        <f t="shared" si="42"/>
        <v>35256.35</v>
      </c>
      <c r="N367" s="8">
        <f>1500+55</f>
        <v>1555</v>
      </c>
      <c r="O367" s="8">
        <f>-1053</f>
        <v>-1053</v>
      </c>
      <c r="P367" s="8">
        <f>335-65.3</f>
        <v>269.7</v>
      </c>
      <c r="Q367" s="97">
        <f t="shared" si="40"/>
        <v>36028.049999999996</v>
      </c>
    </row>
    <row r="368" spans="1:18" ht="15.8" customHeight="1" thickBot="1" x14ac:dyDescent="0.3">
      <c r="A368" s="139" t="s">
        <v>172</v>
      </c>
      <c r="B368" s="134"/>
      <c r="C368" s="135">
        <f t="shared" ref="C368:I368" si="51">SUM(C370:C371)</f>
        <v>5804</v>
      </c>
      <c r="D368" s="135">
        <f t="shared" si="51"/>
        <v>0</v>
      </c>
      <c r="E368" s="135">
        <f t="shared" si="51"/>
        <v>2675</v>
      </c>
      <c r="F368" s="135">
        <f t="shared" si="51"/>
        <v>198</v>
      </c>
      <c r="G368" s="135">
        <f t="shared" si="51"/>
        <v>8677</v>
      </c>
      <c r="H368" s="135">
        <f t="shared" si="51"/>
        <v>100</v>
      </c>
      <c r="I368" s="135">
        <f t="shared" si="51"/>
        <v>0</v>
      </c>
      <c r="J368" s="135">
        <f t="shared" ref="J368:O368" si="52">SUM(J370:J371)</f>
        <v>8777</v>
      </c>
      <c r="K368" s="135">
        <f t="shared" si="52"/>
        <v>1100</v>
      </c>
      <c r="L368" s="135">
        <f t="shared" si="52"/>
        <v>321.32</v>
      </c>
      <c r="M368" s="135">
        <f t="shared" si="52"/>
        <v>10198.32</v>
      </c>
      <c r="N368" s="135">
        <f t="shared" si="52"/>
        <v>392.4</v>
      </c>
      <c r="O368" s="135">
        <f t="shared" si="52"/>
        <v>0</v>
      </c>
      <c r="P368" s="135">
        <f>SUM(P370:P371)</f>
        <v>54.58</v>
      </c>
      <c r="Q368" s="136">
        <f t="shared" ref="Q368:Q430" si="53">SUM(M368:P368)</f>
        <v>10645.3</v>
      </c>
      <c r="R368" s="87"/>
    </row>
    <row r="369" spans="1:18" ht="13.6" customHeight="1" x14ac:dyDescent="0.25">
      <c r="A369" s="37" t="s">
        <v>25</v>
      </c>
      <c r="B369" s="27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99"/>
    </row>
    <row r="370" spans="1:18" ht="14.3" customHeight="1" x14ac:dyDescent="0.25">
      <c r="A370" s="34" t="s">
        <v>27</v>
      </c>
      <c r="B370" s="29"/>
      <c r="C370" s="8">
        <v>410</v>
      </c>
      <c r="D370" s="8">
        <v>0</v>
      </c>
      <c r="E370" s="8">
        <v>0</v>
      </c>
      <c r="F370" s="8">
        <v>0</v>
      </c>
      <c r="G370" s="8">
        <f t="shared" si="41"/>
        <v>410</v>
      </c>
      <c r="H370" s="8">
        <v>0</v>
      </c>
      <c r="I370" s="8">
        <v>0</v>
      </c>
      <c r="J370" s="8">
        <f t="shared" si="47"/>
        <v>410</v>
      </c>
      <c r="K370" s="8">
        <v>0</v>
      </c>
      <c r="L370" s="8">
        <v>0</v>
      </c>
      <c r="M370" s="8">
        <f t="shared" si="42"/>
        <v>410</v>
      </c>
      <c r="N370" s="8">
        <f>41</f>
        <v>41</v>
      </c>
      <c r="O370" s="8">
        <v>0</v>
      </c>
      <c r="P370" s="8">
        <v>0</v>
      </c>
      <c r="Q370" s="99">
        <f t="shared" si="53"/>
        <v>451</v>
      </c>
    </row>
    <row r="371" spans="1:18" ht="25.85" customHeight="1" thickBot="1" x14ac:dyDescent="0.3">
      <c r="A371" s="9" t="s">
        <v>173</v>
      </c>
      <c r="B371" s="25"/>
      <c r="C371" s="10">
        <v>5394</v>
      </c>
      <c r="D371" s="10">
        <v>0</v>
      </c>
      <c r="E371" s="10">
        <v>2675</v>
      </c>
      <c r="F371" s="10">
        <f>198</f>
        <v>198</v>
      </c>
      <c r="G371" s="10">
        <f t="shared" si="41"/>
        <v>8267</v>
      </c>
      <c r="H371" s="10">
        <v>100</v>
      </c>
      <c r="I371" s="10">
        <v>0</v>
      </c>
      <c r="J371" s="10">
        <f t="shared" si="47"/>
        <v>8367</v>
      </c>
      <c r="K371" s="10">
        <f>1100</f>
        <v>1100</v>
      </c>
      <c r="L371" s="10">
        <f>321.32</f>
        <v>321.32</v>
      </c>
      <c r="M371" s="10">
        <f t="shared" si="42"/>
        <v>9788.32</v>
      </c>
      <c r="N371" s="10">
        <f>369.4-18</f>
        <v>351.4</v>
      </c>
      <c r="O371" s="10">
        <v>0</v>
      </c>
      <c r="P371" s="10">
        <f>54.58</f>
        <v>54.58</v>
      </c>
      <c r="Q371" s="107">
        <f t="shared" si="53"/>
        <v>10194.299999999999</v>
      </c>
    </row>
    <row r="372" spans="1:18" ht="16.5" customHeight="1" thickBot="1" x14ac:dyDescent="0.3">
      <c r="A372" s="41" t="s">
        <v>174</v>
      </c>
      <c r="B372" s="140"/>
      <c r="C372" s="42">
        <f>C24+C45+C50+C58+C62+C67+C255+C267+C276+C333+C336+C360+C364+C368</f>
        <v>1647096.9</v>
      </c>
      <c r="D372" s="42">
        <f>SUM(D24+D45+D50+D58+D62+D67+D255+D267+D276+D333+D336+D360+D364+D368)</f>
        <v>3506.05</v>
      </c>
      <c r="E372" s="42">
        <f>SUM(E24+E45+E50+E58+E62+E67+E255+E267+E276+E333+E336+E360+E364+E368)</f>
        <v>65505.52</v>
      </c>
      <c r="F372" s="42">
        <f>SUM(F24+F45+F50+F58+F62+F67+F255+F267+F276+F333+F336+F360+F364+F368)</f>
        <v>26482.32</v>
      </c>
      <c r="G372" s="42">
        <f>SUM(G24+G45+G50+G58+G62+G67+G255+G267+G276+G333+G336+G360+G364+G368)</f>
        <v>1744183.14</v>
      </c>
      <c r="H372" s="42">
        <f>H24+H45+H50+H58+H62+H67+H255+H267+H276+H333+H336+H360+H364+H368</f>
        <v>13945.35</v>
      </c>
      <c r="I372" s="42">
        <f t="shared" ref="I372:N372" si="54">SUM(I24+I45+I50+I58+I62+I67+I255+I267+I276+I333+I336+I360+I364+I368)</f>
        <v>17852.5</v>
      </c>
      <c r="J372" s="42">
        <f t="shared" si="54"/>
        <v>1781028.1900000002</v>
      </c>
      <c r="K372" s="42">
        <f t="shared" si="54"/>
        <v>11869.619999999999</v>
      </c>
      <c r="L372" s="42">
        <f t="shared" si="54"/>
        <v>12344.7</v>
      </c>
      <c r="M372" s="42">
        <f t="shared" si="54"/>
        <v>1805242.5099999998</v>
      </c>
      <c r="N372" s="42">
        <f t="shared" si="54"/>
        <v>8273.8599999999988</v>
      </c>
      <c r="O372" s="42">
        <f>SUM(O24++O45+O50+O58+O62+O67+O255+O267+O276+O333+O336+O360+O364+O368)</f>
        <v>-17571.64</v>
      </c>
      <c r="P372" s="42">
        <f>SUM(P24+P45+P50+P58+P62+P67+P255+P267+P276+P333+P336+P360+P364+P368)</f>
        <v>142.82999999999987</v>
      </c>
      <c r="Q372" s="133">
        <f t="shared" si="53"/>
        <v>1796087.56</v>
      </c>
      <c r="R372" s="87"/>
    </row>
    <row r="373" spans="1:18" ht="10.199999999999999" customHeight="1" thickBot="1" x14ac:dyDescent="0.3">
      <c r="A373" s="121"/>
      <c r="B373" s="94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01"/>
    </row>
    <row r="374" spans="1:18" ht="15.8" customHeight="1" thickBot="1" x14ac:dyDescent="0.3">
      <c r="A374" s="41" t="s">
        <v>175</v>
      </c>
      <c r="B374" s="66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  <c r="Q374" s="104"/>
    </row>
    <row r="375" spans="1:18" ht="15.65" customHeight="1" thickBot="1" x14ac:dyDescent="0.3">
      <c r="A375" s="40" t="s">
        <v>367</v>
      </c>
      <c r="B375" s="91"/>
      <c r="C375" s="22">
        <f>SUM(C377)</f>
        <v>0</v>
      </c>
      <c r="D375" s="22">
        <f>SUM(D377)</f>
        <v>0</v>
      </c>
      <c r="E375" s="22">
        <f>SUM(E376:E377)</f>
        <v>0</v>
      </c>
      <c r="F375" s="22">
        <f t="shared" ref="F375:K375" si="55">SUM(F377)</f>
        <v>0</v>
      </c>
      <c r="G375" s="22">
        <f t="shared" si="55"/>
        <v>0</v>
      </c>
      <c r="H375" s="22">
        <f t="shared" si="55"/>
        <v>0</v>
      </c>
      <c r="I375" s="22">
        <f t="shared" si="55"/>
        <v>0</v>
      </c>
      <c r="J375" s="22">
        <f t="shared" si="55"/>
        <v>0</v>
      </c>
      <c r="K375" s="22">
        <f t="shared" si="55"/>
        <v>0</v>
      </c>
      <c r="L375" s="22">
        <f>SUM(L377)</f>
        <v>0</v>
      </c>
      <c r="M375" s="22">
        <f>SUM(M377)</f>
        <v>0</v>
      </c>
      <c r="N375" s="22">
        <f>SUM(N377)</f>
        <v>0</v>
      </c>
      <c r="O375" s="22">
        <f>SUM(O377)</f>
        <v>0</v>
      </c>
      <c r="P375" s="22">
        <f>SUM(P377)</f>
        <v>0</v>
      </c>
      <c r="Q375" s="105">
        <f t="shared" si="53"/>
        <v>0</v>
      </c>
      <c r="R375" s="87"/>
    </row>
    <row r="376" spans="1:18" ht="10.9" customHeight="1" x14ac:dyDescent="0.25">
      <c r="A376" s="37" t="s">
        <v>25</v>
      </c>
      <c r="B376" s="27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99"/>
    </row>
    <row r="377" spans="1:18" ht="14.95" customHeight="1" thickBot="1" x14ac:dyDescent="0.3">
      <c r="A377" s="35" t="s">
        <v>368</v>
      </c>
      <c r="B377" s="25"/>
      <c r="C377" s="10">
        <v>0</v>
      </c>
      <c r="D377" s="10">
        <v>0</v>
      </c>
      <c r="E377" s="10">
        <v>0</v>
      </c>
      <c r="F377" s="10">
        <v>0</v>
      </c>
      <c r="G377" s="10">
        <f t="shared" si="41"/>
        <v>0</v>
      </c>
      <c r="H377" s="10">
        <v>0</v>
      </c>
      <c r="I377" s="10">
        <v>0</v>
      </c>
      <c r="J377" s="10">
        <f t="shared" si="47"/>
        <v>0</v>
      </c>
      <c r="K377" s="10">
        <v>0</v>
      </c>
      <c r="L377" s="10">
        <v>0</v>
      </c>
      <c r="M377" s="10">
        <f t="shared" si="42"/>
        <v>0</v>
      </c>
      <c r="N377" s="10">
        <v>0</v>
      </c>
      <c r="O377" s="10">
        <v>0</v>
      </c>
      <c r="P377" s="10">
        <v>0</v>
      </c>
      <c r="Q377" s="107">
        <f t="shared" si="53"/>
        <v>0</v>
      </c>
    </row>
    <row r="378" spans="1:18" ht="15.65" customHeight="1" thickBot="1" x14ac:dyDescent="0.3">
      <c r="A378" s="36" t="s">
        <v>176</v>
      </c>
      <c r="B378" s="30"/>
      <c r="C378" s="22">
        <f>SUM(C380:C382)</f>
        <v>320</v>
      </c>
      <c r="D378" s="22">
        <f t="shared" ref="D378:I378" si="56">SUM(D380:D382)</f>
        <v>0</v>
      </c>
      <c r="E378" s="22">
        <f t="shared" si="56"/>
        <v>0</v>
      </c>
      <c r="F378" s="22">
        <f t="shared" si="56"/>
        <v>59.9</v>
      </c>
      <c r="G378" s="22">
        <f t="shared" si="56"/>
        <v>430.5</v>
      </c>
      <c r="H378" s="22">
        <f t="shared" si="56"/>
        <v>0</v>
      </c>
      <c r="I378" s="22">
        <f t="shared" si="56"/>
        <v>0</v>
      </c>
      <c r="J378" s="22">
        <f t="shared" ref="J378:O378" si="57">SUM(J380:J382)</f>
        <v>430.5</v>
      </c>
      <c r="K378" s="22">
        <f t="shared" si="57"/>
        <v>0</v>
      </c>
      <c r="L378" s="22">
        <f t="shared" si="57"/>
        <v>55</v>
      </c>
      <c r="M378" s="22">
        <f t="shared" si="57"/>
        <v>485.5</v>
      </c>
      <c r="N378" s="22">
        <f t="shared" si="57"/>
        <v>0</v>
      </c>
      <c r="O378" s="22">
        <f t="shared" si="57"/>
        <v>0</v>
      </c>
      <c r="P378" s="22">
        <f>SUM(P380:P382)</f>
        <v>0</v>
      </c>
      <c r="Q378" s="105">
        <f t="shared" si="53"/>
        <v>485.5</v>
      </c>
      <c r="R378" s="87"/>
    </row>
    <row r="379" spans="1:18" ht="13.6" customHeight="1" x14ac:dyDescent="0.25">
      <c r="A379" s="37" t="s">
        <v>25</v>
      </c>
      <c r="B379" s="27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99"/>
    </row>
    <row r="380" spans="1:18" ht="14.95" customHeight="1" x14ac:dyDescent="0.25">
      <c r="A380" s="34" t="s">
        <v>177</v>
      </c>
      <c r="B380" s="29"/>
      <c r="C380" s="8">
        <v>0</v>
      </c>
      <c r="D380" s="8">
        <v>0</v>
      </c>
      <c r="E380" s="8">
        <v>0</v>
      </c>
      <c r="F380" s="8">
        <f>59.9</f>
        <v>59.9</v>
      </c>
      <c r="G380" s="8">
        <f>SUM(C380:F380)+50.6</f>
        <v>110.5</v>
      </c>
      <c r="H380" s="8">
        <v>0</v>
      </c>
      <c r="I380" s="8">
        <v>0</v>
      </c>
      <c r="J380" s="8">
        <f t="shared" si="47"/>
        <v>110.5</v>
      </c>
      <c r="K380" s="8">
        <v>0</v>
      </c>
      <c r="L380" s="8">
        <f>55</f>
        <v>55</v>
      </c>
      <c r="M380" s="8">
        <f t="shared" si="42"/>
        <v>165.5</v>
      </c>
      <c r="N380" s="8">
        <v>0</v>
      </c>
      <c r="O380" s="8">
        <v>0</v>
      </c>
      <c r="P380" s="8">
        <v>0</v>
      </c>
      <c r="Q380" s="99">
        <f t="shared" si="53"/>
        <v>165.5</v>
      </c>
    </row>
    <row r="381" spans="1:18" ht="14.95" customHeight="1" x14ac:dyDescent="0.25">
      <c r="A381" s="34" t="s">
        <v>178</v>
      </c>
      <c r="B381" s="29"/>
      <c r="C381" s="8">
        <v>320</v>
      </c>
      <c r="D381" s="52">
        <v>0</v>
      </c>
      <c r="E381" s="52">
        <v>0</v>
      </c>
      <c r="F381" s="52">
        <v>0</v>
      </c>
      <c r="G381" s="8">
        <f t="shared" si="41"/>
        <v>320</v>
      </c>
      <c r="H381" s="8">
        <v>0</v>
      </c>
      <c r="I381" s="8">
        <v>0</v>
      </c>
      <c r="J381" s="8">
        <f t="shared" si="47"/>
        <v>320</v>
      </c>
      <c r="K381" s="8">
        <v>0</v>
      </c>
      <c r="L381" s="8">
        <v>0</v>
      </c>
      <c r="M381" s="8">
        <f t="shared" si="42"/>
        <v>320</v>
      </c>
      <c r="N381" s="8">
        <v>0</v>
      </c>
      <c r="O381" s="8">
        <v>0</v>
      </c>
      <c r="P381" s="8">
        <v>0</v>
      </c>
      <c r="Q381" s="99">
        <f t="shared" si="53"/>
        <v>320</v>
      </c>
    </row>
    <row r="382" spans="1:18" ht="14.95" customHeight="1" thickBot="1" x14ac:dyDescent="0.3">
      <c r="A382" s="35" t="s">
        <v>179</v>
      </c>
      <c r="B382" s="25"/>
      <c r="C382" s="10">
        <v>0</v>
      </c>
      <c r="D382" s="57">
        <v>0</v>
      </c>
      <c r="E382" s="57">
        <v>0</v>
      </c>
      <c r="F382" s="57">
        <v>0</v>
      </c>
      <c r="G382" s="10">
        <f t="shared" si="41"/>
        <v>0</v>
      </c>
      <c r="H382" s="10">
        <v>0</v>
      </c>
      <c r="I382" s="10">
        <v>0</v>
      </c>
      <c r="J382" s="10">
        <f t="shared" si="47"/>
        <v>0</v>
      </c>
      <c r="K382" s="10">
        <v>0</v>
      </c>
      <c r="L382" s="10">
        <v>0</v>
      </c>
      <c r="M382" s="10">
        <f t="shared" si="42"/>
        <v>0</v>
      </c>
      <c r="N382" s="10">
        <v>0</v>
      </c>
      <c r="O382" s="10">
        <v>0</v>
      </c>
      <c r="P382" s="10">
        <v>0</v>
      </c>
      <c r="Q382" s="101">
        <f t="shared" si="53"/>
        <v>0</v>
      </c>
    </row>
    <row r="383" spans="1:18" ht="15.65" customHeight="1" thickBot="1" x14ac:dyDescent="0.3">
      <c r="A383" s="95" t="s">
        <v>30</v>
      </c>
      <c r="B383" s="30"/>
      <c r="C383" s="22">
        <f>SUM(C386:C393)</f>
        <v>277123.01</v>
      </c>
      <c r="D383" s="22">
        <f>SUM(D386:D393)</f>
        <v>-83.78</v>
      </c>
      <c r="E383" s="22">
        <f>SUM(E386:E393)</f>
        <v>73861.08</v>
      </c>
      <c r="F383" s="22">
        <f>SUM(F386:F393)</f>
        <v>-632</v>
      </c>
      <c r="G383" s="22">
        <f t="shared" ref="G383:L383" si="58">SUM(G385:G393)</f>
        <v>350268.31</v>
      </c>
      <c r="H383" s="22">
        <f t="shared" si="58"/>
        <v>12797</v>
      </c>
      <c r="I383" s="22">
        <f t="shared" si="58"/>
        <v>-698.14</v>
      </c>
      <c r="J383" s="22">
        <f t="shared" si="58"/>
        <v>362167.17000000004</v>
      </c>
      <c r="K383" s="22">
        <f t="shared" si="58"/>
        <v>0</v>
      </c>
      <c r="L383" s="22">
        <f t="shared" si="58"/>
        <v>-299.65999999999997</v>
      </c>
      <c r="M383" s="22">
        <f>SUM(M385:M393)</f>
        <v>361867.51</v>
      </c>
      <c r="N383" s="22">
        <f>SUM(N385:N393)</f>
        <v>-571.86</v>
      </c>
      <c r="O383" s="22">
        <f>SUM(O385:O393)</f>
        <v>-323311.2</v>
      </c>
      <c r="P383" s="22">
        <f>SUM(P385:P393)</f>
        <v>-311.42</v>
      </c>
      <c r="Q383" s="105">
        <f t="shared" si="53"/>
        <v>37673.030000000013</v>
      </c>
      <c r="R383" s="87"/>
    </row>
    <row r="384" spans="1:18" ht="14.95" customHeight="1" x14ac:dyDescent="0.25">
      <c r="A384" s="37" t="s">
        <v>25</v>
      </c>
      <c r="B384" s="27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99"/>
    </row>
    <row r="385" spans="1:18" ht="14.95" customHeight="1" x14ac:dyDescent="0.25">
      <c r="A385" s="34" t="s">
        <v>362</v>
      </c>
      <c r="B385" s="29" t="s">
        <v>361</v>
      </c>
      <c r="C385" s="8">
        <v>0</v>
      </c>
      <c r="D385" s="8"/>
      <c r="E385" s="8"/>
      <c r="F385" s="8"/>
      <c r="G385" s="8">
        <v>0</v>
      </c>
      <c r="H385" s="8">
        <v>12797</v>
      </c>
      <c r="I385" s="8">
        <v>0</v>
      </c>
      <c r="J385" s="8">
        <f t="shared" si="47"/>
        <v>12797</v>
      </c>
      <c r="K385" s="8">
        <v>0</v>
      </c>
      <c r="L385" s="8">
        <v>0</v>
      </c>
      <c r="M385" s="8">
        <f t="shared" si="42"/>
        <v>12797</v>
      </c>
      <c r="N385" s="8">
        <v>0</v>
      </c>
      <c r="O385" s="8">
        <v>0</v>
      </c>
      <c r="P385" s="8">
        <v>0</v>
      </c>
      <c r="Q385" s="99">
        <f t="shared" si="53"/>
        <v>12797</v>
      </c>
    </row>
    <row r="386" spans="1:18" ht="14.95" customHeight="1" x14ac:dyDescent="0.25">
      <c r="A386" s="34" t="s">
        <v>180</v>
      </c>
      <c r="B386" s="29"/>
      <c r="C386" s="8">
        <v>800</v>
      </c>
      <c r="D386" s="8">
        <f>-44.42</f>
        <v>-44.42</v>
      </c>
      <c r="E386" s="8">
        <v>6353.67</v>
      </c>
      <c r="F386" s="8">
        <f>-33</f>
        <v>-33</v>
      </c>
      <c r="G386" s="8">
        <f t="shared" si="41"/>
        <v>7076.25</v>
      </c>
      <c r="H386" s="8">
        <v>0</v>
      </c>
      <c r="I386" s="8">
        <f>-85</f>
        <v>-85</v>
      </c>
      <c r="J386" s="8">
        <f t="shared" si="47"/>
        <v>6991.25</v>
      </c>
      <c r="K386" s="8">
        <v>0</v>
      </c>
      <c r="L386" s="8">
        <v>0</v>
      </c>
      <c r="M386" s="8">
        <f t="shared" si="42"/>
        <v>6991.25</v>
      </c>
      <c r="N386" s="8">
        <f>-298.63</f>
        <v>-298.63</v>
      </c>
      <c r="O386" s="8">
        <v>0</v>
      </c>
      <c r="P386" s="8">
        <f>-158</f>
        <v>-158</v>
      </c>
      <c r="Q386" s="99">
        <f t="shared" si="53"/>
        <v>6534.62</v>
      </c>
    </row>
    <row r="387" spans="1:18" ht="14.95" customHeight="1" x14ac:dyDescent="0.25">
      <c r="A387" s="34" t="s">
        <v>181</v>
      </c>
      <c r="B387" s="29"/>
      <c r="C387" s="8">
        <v>1550</v>
      </c>
      <c r="D387" s="8">
        <v>0</v>
      </c>
      <c r="E387" s="8">
        <v>3277.84</v>
      </c>
      <c r="F387" s="8">
        <f>-80</f>
        <v>-80</v>
      </c>
      <c r="G387" s="8">
        <f t="shared" si="41"/>
        <v>4747.84</v>
      </c>
      <c r="H387" s="8">
        <v>0</v>
      </c>
      <c r="I387" s="8">
        <f>-21.41-584</f>
        <v>-605.41</v>
      </c>
      <c r="J387" s="8">
        <f t="shared" si="47"/>
        <v>4142.43</v>
      </c>
      <c r="K387" s="8">
        <v>0</v>
      </c>
      <c r="L387" s="8">
        <f>826</f>
        <v>826</v>
      </c>
      <c r="M387" s="8">
        <f t="shared" si="42"/>
        <v>4968.43</v>
      </c>
      <c r="N387" s="8">
        <v>0</v>
      </c>
      <c r="O387" s="8">
        <v>0</v>
      </c>
      <c r="P387" s="8">
        <f>-206</f>
        <v>-206</v>
      </c>
      <c r="Q387" s="99">
        <f t="shared" si="53"/>
        <v>4762.43</v>
      </c>
    </row>
    <row r="388" spans="1:18" ht="14.95" customHeight="1" x14ac:dyDescent="0.25">
      <c r="A388" s="7" t="s">
        <v>182</v>
      </c>
      <c r="B388" s="29"/>
      <c r="C388" s="8">
        <v>650</v>
      </c>
      <c r="D388" s="8">
        <f>-39.36</f>
        <v>-39.36</v>
      </c>
      <c r="E388" s="8">
        <v>4136.68</v>
      </c>
      <c r="F388" s="8">
        <f>-519</f>
        <v>-519</v>
      </c>
      <c r="G388" s="8">
        <f t="shared" si="41"/>
        <v>4228.3200000000006</v>
      </c>
      <c r="H388" s="8">
        <v>0</v>
      </c>
      <c r="I388" s="8">
        <v>0</v>
      </c>
      <c r="J388" s="8">
        <f>SUM(G388:I388)-200</f>
        <v>4028.3200000000006</v>
      </c>
      <c r="K388" s="8">
        <v>0</v>
      </c>
      <c r="L388" s="8">
        <f>-807</f>
        <v>-807</v>
      </c>
      <c r="M388" s="8">
        <f t="shared" si="42"/>
        <v>3221.3200000000006</v>
      </c>
      <c r="N388" s="8">
        <v>0</v>
      </c>
      <c r="O388" s="8">
        <v>0</v>
      </c>
      <c r="P388" s="8">
        <v>0</v>
      </c>
      <c r="Q388" s="99">
        <f t="shared" si="53"/>
        <v>3221.3200000000006</v>
      </c>
    </row>
    <row r="389" spans="1:18" ht="14.95" customHeight="1" x14ac:dyDescent="0.25">
      <c r="A389" s="34" t="s">
        <v>183</v>
      </c>
      <c r="B389" s="29"/>
      <c r="C389" s="8">
        <v>1450</v>
      </c>
      <c r="D389" s="8">
        <v>0</v>
      </c>
      <c r="E389" s="8">
        <v>6683.7</v>
      </c>
      <c r="F389" s="8">
        <v>0</v>
      </c>
      <c r="G389" s="8">
        <f t="shared" si="41"/>
        <v>8133.7</v>
      </c>
      <c r="H389" s="8">
        <v>0</v>
      </c>
      <c r="I389" s="8">
        <f>-7.73</f>
        <v>-7.73</v>
      </c>
      <c r="J389" s="8">
        <f t="shared" si="47"/>
        <v>8125.97</v>
      </c>
      <c r="K389" s="8">
        <v>0</v>
      </c>
      <c r="L389" s="8">
        <f>-22.4-296.26</f>
        <v>-318.65999999999997</v>
      </c>
      <c r="M389" s="8">
        <f t="shared" si="42"/>
        <v>7807.31</v>
      </c>
      <c r="N389" s="8">
        <f>-110-163.23</f>
        <v>-273.23</v>
      </c>
      <c r="O389" s="8">
        <v>0</v>
      </c>
      <c r="P389" s="8">
        <f>52.58</f>
        <v>52.58</v>
      </c>
      <c r="Q389" s="99">
        <f t="shared" si="53"/>
        <v>7586.66</v>
      </c>
    </row>
    <row r="390" spans="1:18" ht="14.95" customHeight="1" x14ac:dyDescent="0.25">
      <c r="A390" s="7" t="s">
        <v>184</v>
      </c>
      <c r="B390" s="29"/>
      <c r="C390" s="8">
        <v>550</v>
      </c>
      <c r="D390" s="8">
        <v>0</v>
      </c>
      <c r="E390" s="8">
        <v>2221</v>
      </c>
      <c r="F390" s="8">
        <v>0</v>
      </c>
      <c r="G390" s="8">
        <f t="shared" si="41"/>
        <v>2771</v>
      </c>
      <c r="H390" s="8">
        <v>0</v>
      </c>
      <c r="I390" s="8">
        <v>0</v>
      </c>
      <c r="J390" s="8">
        <f t="shared" si="47"/>
        <v>2771</v>
      </c>
      <c r="K390" s="8">
        <v>0</v>
      </c>
      <c r="L390" s="8">
        <v>0</v>
      </c>
      <c r="M390" s="8">
        <f t="shared" si="42"/>
        <v>2771</v>
      </c>
      <c r="N390" s="8">
        <v>0</v>
      </c>
      <c r="O390" s="8">
        <v>0</v>
      </c>
      <c r="P390" s="8">
        <v>0</v>
      </c>
      <c r="Q390" s="99">
        <f t="shared" si="53"/>
        <v>2771</v>
      </c>
    </row>
    <row r="391" spans="1:18" ht="23.1" customHeight="1" x14ac:dyDescent="0.25">
      <c r="A391" s="7" t="s">
        <v>185</v>
      </c>
      <c r="B391" s="29"/>
      <c r="C391" s="8">
        <v>14531.5</v>
      </c>
      <c r="D391" s="8">
        <v>0</v>
      </c>
      <c r="E391" s="8">
        <v>0</v>
      </c>
      <c r="F391" s="8">
        <v>0</v>
      </c>
      <c r="G391" s="8">
        <f t="shared" si="41"/>
        <v>14531.5</v>
      </c>
      <c r="H391" s="8">
        <v>0</v>
      </c>
      <c r="I391" s="8">
        <v>0</v>
      </c>
      <c r="J391" s="8">
        <f t="shared" si="47"/>
        <v>14531.5</v>
      </c>
      <c r="K391" s="8">
        <v>0</v>
      </c>
      <c r="L391" s="8">
        <v>0</v>
      </c>
      <c r="M391" s="8">
        <f t="shared" si="42"/>
        <v>14531.5</v>
      </c>
      <c r="N391" s="8">
        <v>0</v>
      </c>
      <c r="O391" s="8">
        <f>-14531.5</f>
        <v>-14531.5</v>
      </c>
      <c r="P391" s="8">
        <v>0</v>
      </c>
      <c r="Q391" s="99">
        <f t="shared" si="53"/>
        <v>0</v>
      </c>
    </row>
    <row r="392" spans="1:18" ht="25.15" customHeight="1" x14ac:dyDescent="0.25">
      <c r="A392" s="7" t="s">
        <v>186</v>
      </c>
      <c r="B392" s="29"/>
      <c r="C392" s="8">
        <v>257591.51</v>
      </c>
      <c r="D392" s="8">
        <v>0</v>
      </c>
      <c r="E392" s="8">
        <v>51188.19</v>
      </c>
      <c r="F392" s="8">
        <v>0</v>
      </c>
      <c r="G392" s="8">
        <f t="shared" si="41"/>
        <v>308779.7</v>
      </c>
      <c r="H392" s="8">
        <v>0</v>
      </c>
      <c r="I392" s="8">
        <v>0</v>
      </c>
      <c r="J392" s="8">
        <f t="shared" si="47"/>
        <v>308779.7</v>
      </c>
      <c r="K392" s="8">
        <v>0</v>
      </c>
      <c r="L392" s="8">
        <v>0</v>
      </c>
      <c r="M392" s="8">
        <f t="shared" si="42"/>
        <v>308779.7</v>
      </c>
      <c r="N392" s="8">
        <v>0</v>
      </c>
      <c r="O392" s="8">
        <f>-308779.7</f>
        <v>-308779.7</v>
      </c>
      <c r="P392" s="8">
        <v>0</v>
      </c>
      <c r="Q392" s="99">
        <f t="shared" si="53"/>
        <v>0</v>
      </c>
    </row>
    <row r="393" spans="1:18" ht="14.95" customHeight="1" thickBot="1" x14ac:dyDescent="0.3">
      <c r="A393" s="35" t="s">
        <v>187</v>
      </c>
      <c r="B393" s="25"/>
      <c r="C393" s="10">
        <v>0</v>
      </c>
      <c r="D393" s="57">
        <v>0</v>
      </c>
      <c r="E393" s="57">
        <v>0</v>
      </c>
      <c r="F393" s="57">
        <v>0</v>
      </c>
      <c r="G393" s="10">
        <f t="shared" si="41"/>
        <v>0</v>
      </c>
      <c r="H393" s="10">
        <v>0</v>
      </c>
      <c r="I393" s="10">
        <v>0</v>
      </c>
      <c r="J393" s="10">
        <f t="shared" si="47"/>
        <v>0</v>
      </c>
      <c r="K393" s="10">
        <v>0</v>
      </c>
      <c r="L393" s="10">
        <v>0</v>
      </c>
      <c r="M393" s="10">
        <f t="shared" si="42"/>
        <v>0</v>
      </c>
      <c r="N393" s="10">
        <v>0</v>
      </c>
      <c r="O393" s="10">
        <v>0</v>
      </c>
      <c r="P393" s="10">
        <v>0</v>
      </c>
      <c r="Q393" s="101">
        <f t="shared" si="53"/>
        <v>0</v>
      </c>
    </row>
    <row r="394" spans="1:18" ht="15.65" customHeight="1" thickBot="1" x14ac:dyDescent="0.3">
      <c r="A394" s="95" t="s">
        <v>37</v>
      </c>
      <c r="B394" s="26"/>
      <c r="C394" s="22">
        <f>SUM(C396:C397)</f>
        <v>12753.65</v>
      </c>
      <c r="D394" s="22">
        <f t="shared" ref="D394:I394" si="59">SUM(D396:D397)</f>
        <v>6726.99</v>
      </c>
      <c r="E394" s="22">
        <f t="shared" si="59"/>
        <v>20311.03</v>
      </c>
      <c r="F394" s="22">
        <f t="shared" si="59"/>
        <v>2899.5</v>
      </c>
      <c r="G394" s="22">
        <f t="shared" si="59"/>
        <v>43721.17</v>
      </c>
      <c r="H394" s="22">
        <f t="shared" si="59"/>
        <v>2628</v>
      </c>
      <c r="I394" s="22">
        <f t="shared" si="59"/>
        <v>4358.7700000000004</v>
      </c>
      <c r="J394" s="22">
        <f t="shared" ref="J394:O394" si="60">SUM(J396:J397)</f>
        <v>49516.259999999995</v>
      </c>
      <c r="K394" s="22">
        <f t="shared" si="60"/>
        <v>7132.92</v>
      </c>
      <c r="L394" s="22">
        <f t="shared" si="60"/>
        <v>-895.68000000000006</v>
      </c>
      <c r="M394" s="22">
        <f t="shared" si="60"/>
        <v>55753.5</v>
      </c>
      <c r="N394" s="22">
        <f t="shared" si="60"/>
        <v>656.18999999999994</v>
      </c>
      <c r="O394" s="22">
        <f t="shared" si="60"/>
        <v>-5552.48</v>
      </c>
      <c r="P394" s="22">
        <f>SUM(P396:P397)</f>
        <v>-622</v>
      </c>
      <c r="Q394" s="105">
        <f t="shared" si="53"/>
        <v>50235.210000000006</v>
      </c>
      <c r="R394" s="87"/>
    </row>
    <row r="395" spans="1:18" ht="14.95" customHeight="1" x14ac:dyDescent="0.25">
      <c r="A395" s="37" t="s">
        <v>25</v>
      </c>
      <c r="B395" s="27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99"/>
    </row>
    <row r="396" spans="1:18" ht="14.95" customHeight="1" x14ac:dyDescent="0.25">
      <c r="A396" s="34" t="s">
        <v>177</v>
      </c>
      <c r="B396" s="29"/>
      <c r="C396" s="8">
        <v>11837.48</v>
      </c>
      <c r="D396" s="8">
        <f>5013+480</f>
        <v>5493</v>
      </c>
      <c r="E396" s="8">
        <v>1030.19</v>
      </c>
      <c r="F396" s="8">
        <f>1156.5+1324+71+348</f>
        <v>2899.5</v>
      </c>
      <c r="G396" s="8">
        <f>SUM(C396:F396)+1030</f>
        <v>22290.17</v>
      </c>
      <c r="H396" s="8">
        <v>0</v>
      </c>
      <c r="I396" s="8">
        <f>1058.5+3209.27+91</f>
        <v>4358.7700000000004</v>
      </c>
      <c r="J396" s="8">
        <f>SUM(G396:I396)-1451.6+259.92</f>
        <v>25457.26</v>
      </c>
      <c r="K396" s="8">
        <f>4655.62</f>
        <v>4655.62</v>
      </c>
      <c r="L396" s="8">
        <f>-1000+292.32+12-200</f>
        <v>-895.68000000000006</v>
      </c>
      <c r="M396" s="8">
        <f t="shared" si="42"/>
        <v>29217.199999999997</v>
      </c>
      <c r="N396" s="8">
        <f>-53+746.91+903.66</f>
        <v>1597.57</v>
      </c>
      <c r="O396" s="8">
        <f>-5552.48</f>
        <v>-5552.48</v>
      </c>
      <c r="P396" s="8">
        <f>-430</f>
        <v>-430</v>
      </c>
      <c r="Q396" s="99">
        <f t="shared" si="53"/>
        <v>24832.289999999997</v>
      </c>
    </row>
    <row r="397" spans="1:18" ht="14.95" customHeight="1" thickBot="1" x14ac:dyDescent="0.3">
      <c r="A397" s="9" t="s">
        <v>188</v>
      </c>
      <c r="B397" s="25"/>
      <c r="C397" s="10">
        <v>916.17</v>
      </c>
      <c r="D397" s="10">
        <f>100+1133.99</f>
        <v>1233.99</v>
      </c>
      <c r="E397" s="10">
        <v>19280.84</v>
      </c>
      <c r="F397" s="10">
        <v>0</v>
      </c>
      <c r="G397" s="10">
        <f t="shared" ref="G397:G467" si="61">SUM(C397:F397)</f>
        <v>21431</v>
      </c>
      <c r="H397" s="10">
        <v>2628</v>
      </c>
      <c r="I397" s="10">
        <v>0</v>
      </c>
      <c r="J397" s="10">
        <f t="shared" si="47"/>
        <v>24059</v>
      </c>
      <c r="K397" s="10">
        <f>2477.3</f>
        <v>2477.3000000000002</v>
      </c>
      <c r="L397" s="10">
        <v>0</v>
      </c>
      <c r="M397" s="10">
        <f t="shared" si="42"/>
        <v>26536.3</v>
      </c>
      <c r="N397" s="10">
        <f>-941.38</f>
        <v>-941.38</v>
      </c>
      <c r="O397" s="10">
        <v>0</v>
      </c>
      <c r="P397" s="10">
        <f>-192</f>
        <v>-192</v>
      </c>
      <c r="Q397" s="101">
        <f t="shared" si="53"/>
        <v>25402.92</v>
      </c>
    </row>
    <row r="398" spans="1:18" ht="15.8" customHeight="1" thickBot="1" x14ac:dyDescent="0.3">
      <c r="A398" s="36" t="s">
        <v>39</v>
      </c>
      <c r="B398" s="30"/>
      <c r="C398" s="86">
        <f t="shared" ref="C398:I398" si="62">SUM(C400:C401)</f>
        <v>0</v>
      </c>
      <c r="D398" s="65">
        <f t="shared" si="62"/>
        <v>0</v>
      </c>
      <c r="E398" s="65">
        <f t="shared" si="62"/>
        <v>0</v>
      </c>
      <c r="F398" s="65">
        <f t="shared" si="62"/>
        <v>0</v>
      </c>
      <c r="G398" s="86">
        <f t="shared" si="62"/>
        <v>0</v>
      </c>
      <c r="H398" s="86">
        <f t="shared" si="62"/>
        <v>0</v>
      </c>
      <c r="I398" s="86">
        <f t="shared" si="62"/>
        <v>0</v>
      </c>
      <c r="J398" s="22">
        <f t="shared" ref="J398:O398" si="63">SUM(J400:J401)</f>
        <v>0</v>
      </c>
      <c r="K398" s="22">
        <f t="shared" si="63"/>
        <v>0</v>
      </c>
      <c r="L398" s="22">
        <f t="shared" si="63"/>
        <v>0</v>
      </c>
      <c r="M398" s="22">
        <f t="shared" si="63"/>
        <v>0</v>
      </c>
      <c r="N398" s="22">
        <f t="shared" si="63"/>
        <v>0</v>
      </c>
      <c r="O398" s="22">
        <f t="shared" si="63"/>
        <v>0</v>
      </c>
      <c r="P398" s="22">
        <f>SUM(P400:P401)</f>
        <v>0</v>
      </c>
      <c r="Q398" s="105">
        <f t="shared" si="53"/>
        <v>0</v>
      </c>
      <c r="R398" s="87"/>
    </row>
    <row r="399" spans="1:18" ht="14.95" customHeight="1" x14ac:dyDescent="0.25">
      <c r="A399" s="37" t="s">
        <v>25</v>
      </c>
      <c r="B399" s="27"/>
      <c r="C399" s="6"/>
      <c r="D399" s="16"/>
      <c r="E399" s="16"/>
      <c r="F399" s="1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99"/>
    </row>
    <row r="400" spans="1:18" ht="14.95" customHeight="1" x14ac:dyDescent="0.25">
      <c r="A400" s="34" t="s">
        <v>177</v>
      </c>
      <c r="B400" s="29"/>
      <c r="C400" s="8">
        <v>0</v>
      </c>
      <c r="D400" s="58">
        <v>0</v>
      </c>
      <c r="E400" s="58">
        <v>0</v>
      </c>
      <c r="F400" s="58">
        <v>0</v>
      </c>
      <c r="G400" s="8">
        <f t="shared" si="61"/>
        <v>0</v>
      </c>
      <c r="H400" s="8">
        <v>0</v>
      </c>
      <c r="I400" s="8">
        <v>0</v>
      </c>
      <c r="J400" s="8">
        <f t="shared" si="47"/>
        <v>0</v>
      </c>
      <c r="K400" s="8">
        <v>0</v>
      </c>
      <c r="L400" s="8">
        <v>0</v>
      </c>
      <c r="M400" s="8">
        <f t="shared" ref="M400:M464" si="64">SUM(J400:L400)</f>
        <v>0</v>
      </c>
      <c r="N400" s="8">
        <v>0</v>
      </c>
      <c r="O400" s="8">
        <v>0</v>
      </c>
      <c r="P400" s="8">
        <v>0</v>
      </c>
      <c r="Q400" s="99">
        <f t="shared" si="53"/>
        <v>0</v>
      </c>
    </row>
    <row r="401" spans="1:18" ht="14.95" customHeight="1" thickBot="1" x14ac:dyDescent="0.3">
      <c r="A401" s="35" t="s">
        <v>189</v>
      </c>
      <c r="B401" s="25"/>
      <c r="C401" s="10">
        <v>0</v>
      </c>
      <c r="D401" s="108">
        <v>0</v>
      </c>
      <c r="E401" s="108">
        <v>0</v>
      </c>
      <c r="F401" s="108">
        <v>0</v>
      </c>
      <c r="G401" s="10">
        <f t="shared" si="61"/>
        <v>0</v>
      </c>
      <c r="H401" s="10">
        <v>0</v>
      </c>
      <c r="I401" s="10">
        <v>0</v>
      </c>
      <c r="J401" s="10">
        <f>SUM(G401:I401)</f>
        <v>0</v>
      </c>
      <c r="K401" s="10">
        <v>0</v>
      </c>
      <c r="L401" s="10">
        <v>0</v>
      </c>
      <c r="M401" s="10">
        <f t="shared" si="64"/>
        <v>0</v>
      </c>
      <c r="N401" s="10">
        <v>0</v>
      </c>
      <c r="O401" s="10">
        <v>0</v>
      </c>
      <c r="P401" s="10">
        <v>0</v>
      </c>
      <c r="Q401" s="107">
        <f t="shared" si="53"/>
        <v>0</v>
      </c>
    </row>
    <row r="402" spans="1:18" ht="15.65" customHeight="1" thickBot="1" x14ac:dyDescent="0.3">
      <c r="A402" s="36" t="s">
        <v>42</v>
      </c>
      <c r="B402" s="30"/>
      <c r="C402" s="22">
        <f>SUM(C404:C425)</f>
        <v>1415</v>
      </c>
      <c r="D402" s="22">
        <f t="shared" ref="D402:I402" si="65">SUM(D404:D425)</f>
        <v>3495.4700000000003</v>
      </c>
      <c r="E402" s="22">
        <f t="shared" si="65"/>
        <v>4194.12</v>
      </c>
      <c r="F402" s="22">
        <f t="shared" si="65"/>
        <v>255</v>
      </c>
      <c r="G402" s="22">
        <f t="shared" si="65"/>
        <v>9359.59</v>
      </c>
      <c r="H402" s="22">
        <f t="shared" si="65"/>
        <v>1170</v>
      </c>
      <c r="I402" s="22">
        <f t="shared" si="65"/>
        <v>70</v>
      </c>
      <c r="J402" s="22">
        <f t="shared" ref="J402:O402" si="66">SUM(J404:J425)</f>
        <v>10599.59</v>
      </c>
      <c r="K402" s="22">
        <f t="shared" si="66"/>
        <v>-136.41</v>
      </c>
      <c r="L402" s="22">
        <f t="shared" si="66"/>
        <v>1388</v>
      </c>
      <c r="M402" s="22">
        <f t="shared" si="66"/>
        <v>11851.18</v>
      </c>
      <c r="N402" s="22">
        <f t="shared" si="66"/>
        <v>163.22999999999999</v>
      </c>
      <c r="O402" s="22">
        <f t="shared" si="66"/>
        <v>738.48</v>
      </c>
      <c r="P402" s="22">
        <f>SUM(P404:P425)</f>
        <v>0</v>
      </c>
      <c r="Q402" s="105">
        <f t="shared" si="53"/>
        <v>12752.89</v>
      </c>
      <c r="R402" s="87"/>
    </row>
    <row r="403" spans="1:18" ht="14.95" customHeight="1" x14ac:dyDescent="0.25">
      <c r="A403" s="37" t="s">
        <v>25</v>
      </c>
      <c r="B403" s="27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99"/>
    </row>
    <row r="404" spans="1:18" ht="14.95" customHeight="1" x14ac:dyDescent="0.25">
      <c r="A404" s="34" t="s">
        <v>177</v>
      </c>
      <c r="B404" s="29"/>
      <c r="C404" s="8">
        <v>1415</v>
      </c>
      <c r="D404" s="8">
        <v>130</v>
      </c>
      <c r="E404" s="8">
        <v>0</v>
      </c>
      <c r="F404" s="8">
        <f>70+150+35</f>
        <v>255</v>
      </c>
      <c r="G404" s="8">
        <f t="shared" si="61"/>
        <v>1800</v>
      </c>
      <c r="H404" s="8">
        <v>0</v>
      </c>
      <c r="I404" s="8">
        <f>70</f>
        <v>70</v>
      </c>
      <c r="J404" s="8">
        <f t="shared" si="47"/>
        <v>1870</v>
      </c>
      <c r="K404" s="8">
        <f>-400</f>
        <v>-400</v>
      </c>
      <c r="L404" s="8">
        <f>550+838</f>
        <v>1388</v>
      </c>
      <c r="M404" s="8">
        <f t="shared" si="64"/>
        <v>2858</v>
      </c>
      <c r="N404" s="8">
        <f>163.23</f>
        <v>163.22999999999999</v>
      </c>
      <c r="O404" s="8">
        <v>0</v>
      </c>
      <c r="P404" s="8">
        <v>0</v>
      </c>
      <c r="Q404" s="99">
        <f t="shared" si="53"/>
        <v>3021.23</v>
      </c>
    </row>
    <row r="405" spans="1:18" ht="24.45" customHeight="1" x14ac:dyDescent="0.25">
      <c r="A405" s="7" t="s">
        <v>363</v>
      </c>
      <c r="B405" s="33" t="s">
        <v>228</v>
      </c>
      <c r="C405" s="8">
        <v>0</v>
      </c>
      <c r="D405" s="8"/>
      <c r="E405" s="8"/>
      <c r="F405" s="8"/>
      <c r="G405" s="8">
        <v>0</v>
      </c>
      <c r="H405" s="8">
        <v>170</v>
      </c>
      <c r="I405" s="8">
        <v>0</v>
      </c>
      <c r="J405" s="8">
        <f t="shared" si="47"/>
        <v>170</v>
      </c>
      <c r="K405" s="8">
        <v>0</v>
      </c>
      <c r="L405" s="8">
        <v>0</v>
      </c>
      <c r="M405" s="8">
        <f t="shared" si="64"/>
        <v>170</v>
      </c>
      <c r="N405" s="8">
        <v>0</v>
      </c>
      <c r="O405" s="8">
        <v>0</v>
      </c>
      <c r="P405" s="8">
        <v>0</v>
      </c>
      <c r="Q405" s="99">
        <f t="shared" si="53"/>
        <v>170</v>
      </c>
    </row>
    <row r="406" spans="1:18" ht="27.2" customHeight="1" x14ac:dyDescent="0.25">
      <c r="A406" s="7" t="s">
        <v>364</v>
      </c>
      <c r="B406" s="33" t="s">
        <v>228</v>
      </c>
      <c r="C406" s="8">
        <v>0</v>
      </c>
      <c r="D406" s="8"/>
      <c r="E406" s="8"/>
      <c r="F406" s="8"/>
      <c r="G406" s="8">
        <v>0</v>
      </c>
      <c r="H406" s="8">
        <v>600</v>
      </c>
      <c r="I406" s="8">
        <v>0</v>
      </c>
      <c r="J406" s="8">
        <f t="shared" si="47"/>
        <v>600</v>
      </c>
      <c r="K406" s="8">
        <v>0</v>
      </c>
      <c r="L406" s="8">
        <v>0</v>
      </c>
      <c r="M406" s="8">
        <f t="shared" si="64"/>
        <v>600</v>
      </c>
      <c r="N406" s="8">
        <v>0</v>
      </c>
      <c r="O406" s="8">
        <v>0</v>
      </c>
      <c r="P406" s="8">
        <v>0</v>
      </c>
      <c r="Q406" s="99">
        <f t="shared" si="53"/>
        <v>600</v>
      </c>
    </row>
    <row r="407" spans="1:18" ht="40.75" x14ac:dyDescent="0.25">
      <c r="A407" s="7" t="s">
        <v>279</v>
      </c>
      <c r="B407" s="33" t="s">
        <v>228</v>
      </c>
      <c r="C407" s="8">
        <v>0</v>
      </c>
      <c r="D407" s="8">
        <v>0</v>
      </c>
      <c r="E407" s="8">
        <v>8.9</v>
      </c>
      <c r="F407" s="8">
        <v>0</v>
      </c>
      <c r="G407" s="8">
        <f t="shared" si="61"/>
        <v>8.9</v>
      </c>
      <c r="H407" s="8">
        <v>0</v>
      </c>
      <c r="I407" s="8">
        <v>0</v>
      </c>
      <c r="J407" s="8">
        <f t="shared" si="47"/>
        <v>8.9</v>
      </c>
      <c r="K407" s="8">
        <v>0</v>
      </c>
      <c r="L407" s="8">
        <v>0</v>
      </c>
      <c r="M407" s="8">
        <f t="shared" si="64"/>
        <v>8.9</v>
      </c>
      <c r="N407" s="8">
        <v>0</v>
      </c>
      <c r="O407" s="8">
        <v>0</v>
      </c>
      <c r="P407" s="8">
        <v>0</v>
      </c>
      <c r="Q407" s="99">
        <f t="shared" si="53"/>
        <v>8.9</v>
      </c>
    </row>
    <row r="408" spans="1:18" ht="26.5" customHeight="1" x14ac:dyDescent="0.25">
      <c r="A408" s="7" t="s">
        <v>280</v>
      </c>
      <c r="B408" s="33" t="s">
        <v>228</v>
      </c>
      <c r="C408" s="8">
        <v>0</v>
      </c>
      <c r="D408" s="8">
        <v>0</v>
      </c>
      <c r="E408" s="8">
        <v>50</v>
      </c>
      <c r="F408" s="8">
        <v>0</v>
      </c>
      <c r="G408" s="8">
        <f t="shared" si="61"/>
        <v>50</v>
      </c>
      <c r="H408" s="8">
        <v>0</v>
      </c>
      <c r="I408" s="8">
        <v>0</v>
      </c>
      <c r="J408" s="8">
        <f t="shared" si="47"/>
        <v>50</v>
      </c>
      <c r="K408" s="8">
        <v>0</v>
      </c>
      <c r="L408" s="8">
        <v>0</v>
      </c>
      <c r="M408" s="8">
        <f t="shared" si="64"/>
        <v>50</v>
      </c>
      <c r="N408" s="8">
        <v>0</v>
      </c>
      <c r="O408" s="8">
        <v>0</v>
      </c>
      <c r="P408" s="8">
        <v>0</v>
      </c>
      <c r="Q408" s="99">
        <f t="shared" si="53"/>
        <v>50</v>
      </c>
    </row>
    <row r="409" spans="1:18" ht="25.15" customHeight="1" x14ac:dyDescent="0.25">
      <c r="A409" s="7" t="s">
        <v>283</v>
      </c>
      <c r="B409" s="33" t="s">
        <v>228</v>
      </c>
      <c r="C409" s="8">
        <v>0</v>
      </c>
      <c r="D409" s="8">
        <v>0</v>
      </c>
      <c r="E409" s="8">
        <v>1000</v>
      </c>
      <c r="F409" s="8">
        <v>0</v>
      </c>
      <c r="G409" s="8">
        <f t="shared" si="61"/>
        <v>1000</v>
      </c>
      <c r="H409" s="8">
        <v>0</v>
      </c>
      <c r="I409" s="8">
        <v>0</v>
      </c>
      <c r="J409" s="8">
        <f t="shared" si="47"/>
        <v>1000</v>
      </c>
      <c r="K409" s="8">
        <v>0</v>
      </c>
      <c r="L409" s="8">
        <v>0</v>
      </c>
      <c r="M409" s="8">
        <f t="shared" si="64"/>
        <v>1000</v>
      </c>
      <c r="N409" s="8">
        <v>0</v>
      </c>
      <c r="O409" s="8">
        <f>-1000</f>
        <v>-1000</v>
      </c>
      <c r="P409" s="8">
        <v>0</v>
      </c>
      <c r="Q409" s="99">
        <f t="shared" si="53"/>
        <v>0</v>
      </c>
    </row>
    <row r="410" spans="1:18" ht="25.15" customHeight="1" x14ac:dyDescent="0.25">
      <c r="A410" s="7" t="s">
        <v>283</v>
      </c>
      <c r="B410" s="33" t="s">
        <v>304</v>
      </c>
      <c r="C410" s="8">
        <v>0</v>
      </c>
      <c r="D410" s="8"/>
      <c r="E410" s="8"/>
      <c r="F410" s="8"/>
      <c r="G410" s="8"/>
      <c r="H410" s="8"/>
      <c r="I410" s="8"/>
      <c r="J410" s="8"/>
      <c r="K410" s="8"/>
      <c r="L410" s="8"/>
      <c r="M410" s="8">
        <v>0</v>
      </c>
      <c r="N410" s="8">
        <v>0</v>
      </c>
      <c r="O410" s="8">
        <f>1000</f>
        <v>1000</v>
      </c>
      <c r="P410" s="8">
        <v>0</v>
      </c>
      <c r="Q410" s="99">
        <f t="shared" si="53"/>
        <v>1000</v>
      </c>
    </row>
    <row r="411" spans="1:18" ht="37.4" customHeight="1" x14ac:dyDescent="0.25">
      <c r="A411" s="7" t="s">
        <v>395</v>
      </c>
      <c r="B411" s="33" t="s">
        <v>228</v>
      </c>
      <c r="C411" s="8">
        <v>0</v>
      </c>
      <c r="D411" s="8"/>
      <c r="E411" s="8"/>
      <c r="F411" s="8"/>
      <c r="G411" s="8"/>
      <c r="H411" s="8"/>
      <c r="I411" s="8"/>
      <c r="J411" s="8">
        <v>0</v>
      </c>
      <c r="K411" s="8">
        <f>45</f>
        <v>45</v>
      </c>
      <c r="L411" s="8">
        <v>0</v>
      </c>
      <c r="M411" s="8">
        <f t="shared" si="64"/>
        <v>45</v>
      </c>
      <c r="N411" s="8">
        <v>0</v>
      </c>
      <c r="O411" s="8">
        <v>0</v>
      </c>
      <c r="P411" s="8">
        <v>0</v>
      </c>
      <c r="Q411" s="99">
        <f t="shared" si="53"/>
        <v>45</v>
      </c>
    </row>
    <row r="412" spans="1:18" ht="27.7" customHeight="1" x14ac:dyDescent="0.25">
      <c r="A412" s="7" t="s">
        <v>281</v>
      </c>
      <c r="B412" s="33" t="s">
        <v>228</v>
      </c>
      <c r="C412" s="8">
        <v>0</v>
      </c>
      <c r="D412" s="8">
        <v>0</v>
      </c>
      <c r="E412" s="8">
        <v>200</v>
      </c>
      <c r="F412" s="8">
        <v>0</v>
      </c>
      <c r="G412" s="8">
        <f t="shared" si="61"/>
        <v>200</v>
      </c>
      <c r="H412" s="8">
        <v>0</v>
      </c>
      <c r="I412" s="8">
        <v>0</v>
      </c>
      <c r="J412" s="8">
        <f t="shared" si="47"/>
        <v>200</v>
      </c>
      <c r="K412" s="8">
        <v>0</v>
      </c>
      <c r="L412" s="8">
        <v>0</v>
      </c>
      <c r="M412" s="8">
        <f t="shared" si="64"/>
        <v>200</v>
      </c>
      <c r="N412" s="8">
        <v>0</v>
      </c>
      <c r="O412" s="8">
        <f>600</f>
        <v>600</v>
      </c>
      <c r="P412" s="8">
        <v>0</v>
      </c>
      <c r="Q412" s="99">
        <f t="shared" si="53"/>
        <v>800</v>
      </c>
    </row>
    <row r="413" spans="1:18" ht="25.15" customHeight="1" x14ac:dyDescent="0.25">
      <c r="A413" s="7" t="s">
        <v>365</v>
      </c>
      <c r="B413" s="33" t="s">
        <v>228</v>
      </c>
      <c r="C413" s="8">
        <v>0</v>
      </c>
      <c r="D413" s="8"/>
      <c r="E413" s="8"/>
      <c r="F413" s="8"/>
      <c r="G413" s="8">
        <v>0</v>
      </c>
      <c r="H413" s="8">
        <v>400</v>
      </c>
      <c r="I413" s="8">
        <v>0</v>
      </c>
      <c r="J413" s="8">
        <f t="shared" si="47"/>
        <v>400</v>
      </c>
      <c r="K413" s="8">
        <v>0</v>
      </c>
      <c r="L413" s="8">
        <v>0</v>
      </c>
      <c r="M413" s="8">
        <f t="shared" si="64"/>
        <v>400</v>
      </c>
      <c r="N413" s="8">
        <v>0</v>
      </c>
      <c r="O413" s="8">
        <v>0</v>
      </c>
      <c r="P413" s="8">
        <v>0</v>
      </c>
      <c r="Q413" s="99">
        <f t="shared" si="53"/>
        <v>400</v>
      </c>
    </row>
    <row r="414" spans="1:18" ht="14.95" customHeight="1" x14ac:dyDescent="0.25">
      <c r="A414" s="7" t="s">
        <v>299</v>
      </c>
      <c r="B414" s="33" t="s">
        <v>228</v>
      </c>
      <c r="C414" s="8">
        <v>0</v>
      </c>
      <c r="D414" s="8">
        <f>1656.6</f>
        <v>1656.6</v>
      </c>
      <c r="E414" s="8">
        <v>0</v>
      </c>
      <c r="F414" s="8">
        <v>0</v>
      </c>
      <c r="G414" s="8">
        <f t="shared" si="61"/>
        <v>1656.6</v>
      </c>
      <c r="H414" s="8">
        <v>0</v>
      </c>
      <c r="I414" s="8">
        <v>0</v>
      </c>
      <c r="J414" s="8">
        <f t="shared" si="47"/>
        <v>1656.6</v>
      </c>
      <c r="K414" s="8">
        <v>0</v>
      </c>
      <c r="L414" s="8">
        <v>0</v>
      </c>
      <c r="M414" s="8">
        <f t="shared" si="64"/>
        <v>1656.6</v>
      </c>
      <c r="N414" s="8">
        <v>0</v>
      </c>
      <c r="O414" s="8">
        <v>0</v>
      </c>
      <c r="P414" s="8">
        <v>0</v>
      </c>
      <c r="Q414" s="99">
        <f t="shared" si="53"/>
        <v>1656.6</v>
      </c>
    </row>
    <row r="415" spans="1:18" ht="14.95" customHeight="1" x14ac:dyDescent="0.25">
      <c r="A415" s="7" t="s">
        <v>300</v>
      </c>
      <c r="B415" s="33" t="s">
        <v>228</v>
      </c>
      <c r="C415" s="8">
        <v>0</v>
      </c>
      <c r="D415" s="8">
        <f>97.45</f>
        <v>97.45</v>
      </c>
      <c r="E415" s="8">
        <v>0</v>
      </c>
      <c r="F415" s="8">
        <v>0</v>
      </c>
      <c r="G415" s="8">
        <f t="shared" si="61"/>
        <v>97.45</v>
      </c>
      <c r="H415" s="8">
        <v>0</v>
      </c>
      <c r="I415" s="8">
        <v>0</v>
      </c>
      <c r="J415" s="8">
        <f t="shared" si="47"/>
        <v>97.45</v>
      </c>
      <c r="K415" s="8">
        <v>0</v>
      </c>
      <c r="L415" s="8">
        <v>0</v>
      </c>
      <c r="M415" s="8">
        <f t="shared" si="64"/>
        <v>97.45</v>
      </c>
      <c r="N415" s="8">
        <v>0</v>
      </c>
      <c r="O415" s="8">
        <v>0</v>
      </c>
      <c r="P415" s="8">
        <v>0</v>
      </c>
      <c r="Q415" s="99">
        <f t="shared" si="53"/>
        <v>97.45</v>
      </c>
    </row>
    <row r="416" spans="1:18" ht="26.5" customHeight="1" x14ac:dyDescent="0.25">
      <c r="A416" s="7" t="s">
        <v>282</v>
      </c>
      <c r="B416" s="33" t="s">
        <v>228</v>
      </c>
      <c r="C416" s="8">
        <v>0</v>
      </c>
      <c r="D416" s="8">
        <v>0</v>
      </c>
      <c r="E416" s="8">
        <v>1800</v>
      </c>
      <c r="F416" s="8">
        <v>0</v>
      </c>
      <c r="G416" s="8">
        <f t="shared" si="61"/>
        <v>1800</v>
      </c>
      <c r="H416" s="8">
        <v>0</v>
      </c>
      <c r="I416" s="8">
        <v>0</v>
      </c>
      <c r="J416" s="8">
        <f t="shared" si="47"/>
        <v>1800</v>
      </c>
      <c r="K416" s="8">
        <v>0</v>
      </c>
      <c r="L416" s="8">
        <v>0</v>
      </c>
      <c r="M416" s="8">
        <f t="shared" si="64"/>
        <v>1800</v>
      </c>
      <c r="N416" s="8">
        <v>0</v>
      </c>
      <c r="O416" s="8">
        <v>0</v>
      </c>
      <c r="P416" s="8">
        <v>0</v>
      </c>
      <c r="Q416" s="99">
        <f t="shared" si="53"/>
        <v>1800</v>
      </c>
    </row>
    <row r="417" spans="1:18" ht="26.5" customHeight="1" x14ac:dyDescent="0.25">
      <c r="A417" s="7" t="s">
        <v>394</v>
      </c>
      <c r="B417" s="33" t="s">
        <v>228</v>
      </c>
      <c r="C417" s="8">
        <v>0</v>
      </c>
      <c r="D417" s="8"/>
      <c r="E417" s="8"/>
      <c r="F417" s="8"/>
      <c r="G417" s="8"/>
      <c r="H417" s="8"/>
      <c r="I417" s="8"/>
      <c r="J417" s="8">
        <v>0</v>
      </c>
      <c r="K417" s="8">
        <f>218.59</f>
        <v>218.59</v>
      </c>
      <c r="L417" s="8">
        <v>0</v>
      </c>
      <c r="M417" s="8">
        <f t="shared" si="64"/>
        <v>218.59</v>
      </c>
      <c r="N417" s="8">
        <v>0</v>
      </c>
      <c r="O417" s="8">
        <v>0</v>
      </c>
      <c r="P417" s="8">
        <v>0</v>
      </c>
      <c r="Q417" s="99">
        <f t="shared" si="53"/>
        <v>218.59</v>
      </c>
    </row>
    <row r="418" spans="1:18" ht="26.5" customHeight="1" x14ac:dyDescent="0.25">
      <c r="A418" s="7" t="s">
        <v>452</v>
      </c>
      <c r="B418" s="33" t="s">
        <v>228</v>
      </c>
      <c r="C418" s="8">
        <v>0</v>
      </c>
      <c r="D418" s="8"/>
      <c r="E418" s="8"/>
      <c r="F418" s="8"/>
      <c r="G418" s="8"/>
      <c r="H418" s="8"/>
      <c r="I418" s="8"/>
      <c r="J418" s="8"/>
      <c r="K418" s="8"/>
      <c r="L418" s="8"/>
      <c r="M418" s="8">
        <v>0</v>
      </c>
      <c r="N418" s="8">
        <v>0</v>
      </c>
      <c r="O418" s="8">
        <f>38.48</f>
        <v>38.479999999999997</v>
      </c>
      <c r="P418" s="8">
        <v>0</v>
      </c>
      <c r="Q418" s="99">
        <f t="shared" si="53"/>
        <v>38.479999999999997</v>
      </c>
    </row>
    <row r="419" spans="1:18" ht="25.15" customHeight="1" x14ac:dyDescent="0.25">
      <c r="A419" s="7" t="s">
        <v>284</v>
      </c>
      <c r="B419" s="33" t="s">
        <v>228</v>
      </c>
      <c r="C419" s="8">
        <v>0</v>
      </c>
      <c r="D419" s="8">
        <v>0</v>
      </c>
      <c r="E419" s="8">
        <v>190</v>
      </c>
      <c r="F419" s="8">
        <v>0</v>
      </c>
      <c r="G419" s="8">
        <f t="shared" si="61"/>
        <v>190</v>
      </c>
      <c r="H419" s="8">
        <v>0</v>
      </c>
      <c r="I419" s="8">
        <v>0</v>
      </c>
      <c r="J419" s="8">
        <f t="shared" si="47"/>
        <v>190</v>
      </c>
      <c r="K419" s="8">
        <v>0</v>
      </c>
      <c r="L419" s="8">
        <v>0</v>
      </c>
      <c r="M419" s="8">
        <f t="shared" si="64"/>
        <v>190</v>
      </c>
      <c r="N419" s="8">
        <v>0</v>
      </c>
      <c r="O419" s="8">
        <v>0</v>
      </c>
      <c r="P419" s="8">
        <v>0</v>
      </c>
      <c r="Q419" s="99">
        <f t="shared" si="53"/>
        <v>190</v>
      </c>
    </row>
    <row r="420" spans="1:18" ht="14.95" customHeight="1" x14ac:dyDescent="0.25">
      <c r="A420" s="7" t="s">
        <v>297</v>
      </c>
      <c r="B420" s="33" t="s">
        <v>228</v>
      </c>
      <c r="C420" s="8">
        <v>0</v>
      </c>
      <c r="D420" s="8">
        <f>1521.89</f>
        <v>1521.89</v>
      </c>
      <c r="E420" s="8">
        <v>0</v>
      </c>
      <c r="F420" s="8">
        <v>0</v>
      </c>
      <c r="G420" s="8">
        <f t="shared" si="61"/>
        <v>1521.89</v>
      </c>
      <c r="H420" s="8">
        <v>0</v>
      </c>
      <c r="I420" s="8">
        <v>0</v>
      </c>
      <c r="J420" s="8">
        <f t="shared" si="47"/>
        <v>1521.89</v>
      </c>
      <c r="K420" s="8">
        <v>0</v>
      </c>
      <c r="L420" s="8">
        <v>0</v>
      </c>
      <c r="M420" s="8">
        <f t="shared" si="64"/>
        <v>1521.89</v>
      </c>
      <c r="N420" s="8">
        <v>0</v>
      </c>
      <c r="O420" s="8">
        <v>0</v>
      </c>
      <c r="P420" s="8">
        <v>0</v>
      </c>
      <c r="Q420" s="99">
        <f t="shared" si="53"/>
        <v>1521.89</v>
      </c>
    </row>
    <row r="421" spans="1:18" ht="14.95" customHeight="1" x14ac:dyDescent="0.25">
      <c r="A421" s="7" t="s">
        <v>298</v>
      </c>
      <c r="B421" s="33" t="s">
        <v>228</v>
      </c>
      <c r="C421" s="8">
        <v>0</v>
      </c>
      <c r="D421" s="8">
        <f>89.53</f>
        <v>89.53</v>
      </c>
      <c r="E421" s="8">
        <v>0</v>
      </c>
      <c r="F421" s="8">
        <v>0</v>
      </c>
      <c r="G421" s="8">
        <f t="shared" si="61"/>
        <v>89.53</v>
      </c>
      <c r="H421" s="8">
        <v>0</v>
      </c>
      <c r="I421" s="8">
        <v>0</v>
      </c>
      <c r="J421" s="8">
        <f t="shared" ref="J421:J485" si="67">SUM(G421:I421)</f>
        <v>89.53</v>
      </c>
      <c r="K421" s="8">
        <v>0</v>
      </c>
      <c r="L421" s="8">
        <v>0</v>
      </c>
      <c r="M421" s="8">
        <f t="shared" si="64"/>
        <v>89.53</v>
      </c>
      <c r="N421" s="8">
        <v>0</v>
      </c>
      <c r="O421" s="8">
        <v>0</v>
      </c>
      <c r="P421" s="8">
        <v>0</v>
      </c>
      <c r="Q421" s="99">
        <f t="shared" si="53"/>
        <v>89.53</v>
      </c>
    </row>
    <row r="422" spans="1:18" ht="38.75" customHeight="1" x14ac:dyDescent="0.25">
      <c r="A422" s="7" t="s">
        <v>285</v>
      </c>
      <c r="B422" s="33" t="s">
        <v>228</v>
      </c>
      <c r="C422" s="8">
        <v>0</v>
      </c>
      <c r="D422" s="8">
        <v>0</v>
      </c>
      <c r="E422" s="8">
        <v>245.22</v>
      </c>
      <c r="F422" s="8">
        <v>0</v>
      </c>
      <c r="G422" s="8">
        <f t="shared" si="61"/>
        <v>245.22</v>
      </c>
      <c r="H422" s="8">
        <v>0</v>
      </c>
      <c r="I422" s="8">
        <v>0</v>
      </c>
      <c r="J422" s="8">
        <f t="shared" si="67"/>
        <v>245.22</v>
      </c>
      <c r="K422" s="8">
        <v>0</v>
      </c>
      <c r="L422" s="8">
        <v>0</v>
      </c>
      <c r="M422" s="8">
        <f t="shared" si="64"/>
        <v>245.22</v>
      </c>
      <c r="N422" s="8">
        <v>0</v>
      </c>
      <c r="O422" s="8">
        <v>0</v>
      </c>
      <c r="P422" s="8">
        <v>0</v>
      </c>
      <c r="Q422" s="99">
        <f t="shared" si="53"/>
        <v>245.22</v>
      </c>
    </row>
    <row r="423" spans="1:18" ht="28.55" customHeight="1" x14ac:dyDescent="0.25">
      <c r="A423" s="7" t="s">
        <v>450</v>
      </c>
      <c r="B423" s="33" t="s">
        <v>228</v>
      </c>
      <c r="C423" s="8">
        <v>0</v>
      </c>
      <c r="D423" s="8"/>
      <c r="E423" s="8"/>
      <c r="F423" s="8"/>
      <c r="G423" s="8"/>
      <c r="H423" s="8"/>
      <c r="I423" s="8"/>
      <c r="J423" s="8"/>
      <c r="K423" s="8"/>
      <c r="L423" s="8"/>
      <c r="M423" s="8">
        <v>0</v>
      </c>
      <c r="N423" s="8">
        <v>0</v>
      </c>
      <c r="O423" s="8">
        <f>100</f>
        <v>100</v>
      </c>
      <c r="P423" s="8">
        <v>0</v>
      </c>
      <c r="Q423" s="99">
        <f t="shared" si="53"/>
        <v>100</v>
      </c>
    </row>
    <row r="424" spans="1:18" ht="27.7" customHeight="1" x14ac:dyDescent="0.25">
      <c r="A424" s="7" t="s">
        <v>286</v>
      </c>
      <c r="B424" s="33" t="s">
        <v>228</v>
      </c>
      <c r="C424" s="8">
        <v>0</v>
      </c>
      <c r="D424" s="8">
        <v>0</v>
      </c>
      <c r="E424" s="8">
        <v>700</v>
      </c>
      <c r="F424" s="8">
        <v>0</v>
      </c>
      <c r="G424" s="8">
        <f t="shared" si="61"/>
        <v>700</v>
      </c>
      <c r="H424" s="8">
        <v>0</v>
      </c>
      <c r="I424" s="8">
        <v>0</v>
      </c>
      <c r="J424" s="8">
        <f t="shared" si="67"/>
        <v>700</v>
      </c>
      <c r="K424" s="8">
        <v>0</v>
      </c>
      <c r="L424" s="8">
        <v>0</v>
      </c>
      <c r="M424" s="8">
        <f t="shared" si="64"/>
        <v>700</v>
      </c>
      <c r="N424" s="8">
        <v>0</v>
      </c>
      <c r="O424" s="8">
        <v>0</v>
      </c>
      <c r="P424" s="8">
        <v>0</v>
      </c>
      <c r="Q424" s="99">
        <f t="shared" si="53"/>
        <v>700</v>
      </c>
    </row>
    <row r="425" spans="1:18" ht="14.95" customHeight="1" thickBot="1" x14ac:dyDescent="0.3">
      <c r="A425" s="35" t="s">
        <v>190</v>
      </c>
      <c r="B425" s="25"/>
      <c r="C425" s="10">
        <v>0</v>
      </c>
      <c r="D425" s="10">
        <v>0</v>
      </c>
      <c r="E425" s="10">
        <v>0</v>
      </c>
      <c r="F425" s="10">
        <v>0</v>
      </c>
      <c r="G425" s="10">
        <f t="shared" si="61"/>
        <v>0</v>
      </c>
      <c r="H425" s="10">
        <v>0</v>
      </c>
      <c r="I425" s="10">
        <v>0</v>
      </c>
      <c r="J425" s="10">
        <f t="shared" si="67"/>
        <v>0</v>
      </c>
      <c r="K425" s="10">
        <v>0</v>
      </c>
      <c r="L425" s="10">
        <v>0</v>
      </c>
      <c r="M425" s="10">
        <f t="shared" si="64"/>
        <v>0</v>
      </c>
      <c r="N425" s="10">
        <v>0</v>
      </c>
      <c r="O425" s="10">
        <v>0</v>
      </c>
      <c r="P425" s="10">
        <v>0</v>
      </c>
      <c r="Q425" s="107">
        <f t="shared" si="53"/>
        <v>0</v>
      </c>
    </row>
    <row r="426" spans="1:18" ht="15.65" customHeight="1" thickBot="1" x14ac:dyDescent="0.3">
      <c r="A426" s="36" t="s">
        <v>105</v>
      </c>
      <c r="B426" s="30"/>
      <c r="C426" s="22">
        <f t="shared" ref="C426:I426" si="68">SUM(C428:C429)</f>
        <v>73386</v>
      </c>
      <c r="D426" s="22">
        <f t="shared" si="68"/>
        <v>0</v>
      </c>
      <c r="E426" s="22">
        <f t="shared" si="68"/>
        <v>17550</v>
      </c>
      <c r="F426" s="22">
        <f t="shared" si="68"/>
        <v>-7300</v>
      </c>
      <c r="G426" s="22">
        <f t="shared" si="68"/>
        <v>83808</v>
      </c>
      <c r="H426" s="22">
        <f t="shared" si="68"/>
        <v>6000</v>
      </c>
      <c r="I426" s="22">
        <f t="shared" si="68"/>
        <v>-13928</v>
      </c>
      <c r="J426" s="22">
        <f t="shared" ref="J426:O426" si="69">SUM(J428:J429)</f>
        <v>75880</v>
      </c>
      <c r="K426" s="22">
        <f t="shared" si="69"/>
        <v>0</v>
      </c>
      <c r="L426" s="22">
        <f t="shared" si="69"/>
        <v>-3826</v>
      </c>
      <c r="M426" s="22">
        <f t="shared" si="69"/>
        <v>72054</v>
      </c>
      <c r="N426" s="22">
        <f t="shared" si="69"/>
        <v>0</v>
      </c>
      <c r="O426" s="22">
        <f t="shared" si="69"/>
        <v>-25005</v>
      </c>
      <c r="P426" s="22">
        <f>SUM(P428:P429)</f>
        <v>128</v>
      </c>
      <c r="Q426" s="105">
        <f t="shared" si="53"/>
        <v>47177</v>
      </c>
      <c r="R426" s="87"/>
    </row>
    <row r="427" spans="1:18" ht="14.95" customHeight="1" x14ac:dyDescent="0.25">
      <c r="A427" s="37" t="s">
        <v>25</v>
      </c>
      <c r="B427" s="27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99"/>
    </row>
    <row r="428" spans="1:18" ht="14.95" customHeight="1" x14ac:dyDescent="0.25">
      <c r="A428" s="34" t="s">
        <v>177</v>
      </c>
      <c r="B428" s="29"/>
      <c r="C428" s="8">
        <v>73386</v>
      </c>
      <c r="D428" s="8">
        <v>0</v>
      </c>
      <c r="E428" s="8">
        <v>17550</v>
      </c>
      <c r="F428" s="8">
        <f>80-7380</f>
        <v>-7300</v>
      </c>
      <c r="G428" s="8">
        <f>SUM(C428:F428)+172</f>
        <v>83808</v>
      </c>
      <c r="H428" s="8">
        <v>6000</v>
      </c>
      <c r="I428" s="8">
        <f>-13928</f>
        <v>-13928</v>
      </c>
      <c r="J428" s="8">
        <f t="shared" si="67"/>
        <v>75880</v>
      </c>
      <c r="K428" s="8">
        <v>0</v>
      </c>
      <c r="L428" s="8">
        <f>-3000-826</f>
        <v>-3826</v>
      </c>
      <c r="M428" s="8">
        <f t="shared" si="64"/>
        <v>72054</v>
      </c>
      <c r="N428" s="8">
        <v>0</v>
      </c>
      <c r="O428" s="8">
        <f>-25005</f>
        <v>-25005</v>
      </c>
      <c r="P428" s="8">
        <f>128</f>
        <v>128</v>
      </c>
      <c r="Q428" s="99">
        <f t="shared" si="53"/>
        <v>47177</v>
      </c>
    </row>
    <row r="429" spans="1:18" ht="25.15" customHeight="1" thickBot="1" x14ac:dyDescent="0.3">
      <c r="A429" s="9" t="s">
        <v>191</v>
      </c>
      <c r="B429" s="25"/>
      <c r="C429" s="10">
        <v>0</v>
      </c>
      <c r="D429" s="57">
        <v>0</v>
      </c>
      <c r="E429" s="57">
        <v>0</v>
      </c>
      <c r="F429" s="57">
        <v>0</v>
      </c>
      <c r="G429" s="10">
        <f t="shared" si="61"/>
        <v>0</v>
      </c>
      <c r="H429" s="10">
        <v>0</v>
      </c>
      <c r="I429" s="10">
        <v>0</v>
      </c>
      <c r="J429" s="10">
        <f t="shared" si="67"/>
        <v>0</v>
      </c>
      <c r="K429" s="10">
        <v>0</v>
      </c>
      <c r="L429" s="10">
        <v>0</v>
      </c>
      <c r="M429" s="10">
        <f t="shared" si="64"/>
        <v>0</v>
      </c>
      <c r="N429" s="10">
        <v>0</v>
      </c>
      <c r="O429" s="10">
        <v>0</v>
      </c>
      <c r="P429" s="10">
        <v>0</v>
      </c>
      <c r="Q429" s="107">
        <f t="shared" si="53"/>
        <v>0</v>
      </c>
    </row>
    <row r="430" spans="1:18" ht="15.8" customHeight="1" thickBot="1" x14ac:dyDescent="0.3">
      <c r="A430" s="73" t="s">
        <v>112</v>
      </c>
      <c r="B430" s="30"/>
      <c r="C430" s="22">
        <f t="shared" ref="C430:I430" si="70">SUM(C432:C437)</f>
        <v>11924.69</v>
      </c>
      <c r="D430" s="142">
        <f t="shared" si="70"/>
        <v>-16.579999999999998</v>
      </c>
      <c r="E430" s="143">
        <f t="shared" si="70"/>
        <v>6622.2</v>
      </c>
      <c r="F430" s="143">
        <f t="shared" si="70"/>
        <v>-522.20000000000005</v>
      </c>
      <c r="G430" s="22">
        <f t="shared" si="70"/>
        <v>18008.11</v>
      </c>
      <c r="H430" s="22">
        <f t="shared" si="70"/>
        <v>0</v>
      </c>
      <c r="I430" s="22">
        <f t="shared" si="70"/>
        <v>-165</v>
      </c>
      <c r="J430" s="22">
        <f t="shared" ref="J430:O430" si="71">SUM(J432:J437)</f>
        <v>17843.11</v>
      </c>
      <c r="K430" s="22">
        <f t="shared" si="71"/>
        <v>40</v>
      </c>
      <c r="L430" s="22">
        <f t="shared" si="71"/>
        <v>-125</v>
      </c>
      <c r="M430" s="22">
        <f t="shared" si="71"/>
        <v>17758.11</v>
      </c>
      <c r="N430" s="22">
        <f t="shared" si="71"/>
        <v>0</v>
      </c>
      <c r="O430" s="22">
        <f t="shared" si="71"/>
        <v>-11396.07</v>
      </c>
      <c r="P430" s="22">
        <f>SUM(P432:P437)</f>
        <v>30</v>
      </c>
      <c r="Q430" s="105">
        <f t="shared" si="53"/>
        <v>6392.0400000000009</v>
      </c>
      <c r="R430" s="87"/>
    </row>
    <row r="431" spans="1:18" ht="14.95" customHeight="1" x14ac:dyDescent="0.25">
      <c r="A431" s="74" t="s">
        <v>25</v>
      </c>
      <c r="B431" s="27"/>
      <c r="C431" s="6"/>
      <c r="D431" s="53"/>
      <c r="E431" s="69"/>
      <c r="F431" s="69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99"/>
    </row>
    <row r="432" spans="1:18" ht="14.95" customHeight="1" x14ac:dyDescent="0.25">
      <c r="A432" s="98" t="s">
        <v>177</v>
      </c>
      <c r="B432" s="29"/>
      <c r="C432" s="8">
        <v>1224.69</v>
      </c>
      <c r="D432" s="52">
        <f>-16.58</f>
        <v>-16.579999999999998</v>
      </c>
      <c r="E432" s="70">
        <v>522.20000000000005</v>
      </c>
      <c r="F432" s="70">
        <f>-522.2</f>
        <v>-522.20000000000005</v>
      </c>
      <c r="G432" s="8">
        <f t="shared" si="61"/>
        <v>1208.1100000000001</v>
      </c>
      <c r="H432" s="8">
        <v>0</v>
      </c>
      <c r="I432" s="8">
        <f>-250+85</f>
        <v>-165</v>
      </c>
      <c r="J432" s="8">
        <f t="shared" si="67"/>
        <v>1043.1100000000001</v>
      </c>
      <c r="K432" s="8">
        <f>40</f>
        <v>40</v>
      </c>
      <c r="L432" s="8">
        <f>45-170</f>
        <v>-125</v>
      </c>
      <c r="M432" s="8">
        <f t="shared" si="64"/>
        <v>958.11000000000013</v>
      </c>
      <c r="N432" s="8">
        <v>0</v>
      </c>
      <c r="O432" s="8">
        <f>-576.07</f>
        <v>-576.07000000000005</v>
      </c>
      <c r="P432" s="8">
        <f>30</f>
        <v>30</v>
      </c>
      <c r="Q432" s="99">
        <f t="shared" ref="Q432:Q485" si="72">SUM(M432:P432)</f>
        <v>412.04000000000008</v>
      </c>
    </row>
    <row r="433" spans="1:18" ht="30.6" customHeight="1" x14ac:dyDescent="0.25">
      <c r="A433" s="7" t="s">
        <v>193</v>
      </c>
      <c r="B433" s="33" t="s">
        <v>114</v>
      </c>
      <c r="C433" s="8">
        <v>700</v>
      </c>
      <c r="D433" s="52">
        <v>0</v>
      </c>
      <c r="E433" s="52">
        <v>0</v>
      </c>
      <c r="F433" s="52">
        <v>0</v>
      </c>
      <c r="G433" s="8">
        <f t="shared" si="61"/>
        <v>700</v>
      </c>
      <c r="H433" s="8">
        <v>0</v>
      </c>
      <c r="I433" s="8">
        <v>0</v>
      </c>
      <c r="J433" s="8">
        <f t="shared" si="67"/>
        <v>700</v>
      </c>
      <c r="K433" s="8">
        <v>0</v>
      </c>
      <c r="L433" s="8">
        <v>0</v>
      </c>
      <c r="M433" s="8">
        <f t="shared" si="64"/>
        <v>700</v>
      </c>
      <c r="N433" s="8">
        <v>0</v>
      </c>
      <c r="O433" s="8">
        <f>-620</f>
        <v>-620</v>
      </c>
      <c r="P433" s="8">
        <v>0</v>
      </c>
      <c r="Q433" s="99">
        <f t="shared" si="72"/>
        <v>80</v>
      </c>
    </row>
    <row r="434" spans="1:18" ht="26.35" customHeight="1" x14ac:dyDescent="0.25">
      <c r="A434" s="7" t="s">
        <v>246</v>
      </c>
      <c r="B434" s="33" t="s">
        <v>120</v>
      </c>
      <c r="C434" s="8">
        <v>9400</v>
      </c>
      <c r="D434" s="52">
        <v>0</v>
      </c>
      <c r="E434" s="52">
        <v>6100</v>
      </c>
      <c r="F434" s="52">
        <v>0</v>
      </c>
      <c r="G434" s="8">
        <f t="shared" si="61"/>
        <v>15500</v>
      </c>
      <c r="H434" s="8">
        <v>0</v>
      </c>
      <c r="I434" s="8">
        <v>0</v>
      </c>
      <c r="J434" s="8">
        <f t="shared" si="67"/>
        <v>15500</v>
      </c>
      <c r="K434" s="8">
        <v>0</v>
      </c>
      <c r="L434" s="8">
        <v>0</v>
      </c>
      <c r="M434" s="8">
        <f t="shared" si="64"/>
        <v>15500</v>
      </c>
      <c r="N434" s="8">
        <v>0</v>
      </c>
      <c r="O434" s="8">
        <f>-5000-5000</f>
        <v>-10000</v>
      </c>
      <c r="P434" s="8">
        <v>0</v>
      </c>
      <c r="Q434" s="99">
        <f t="shared" si="72"/>
        <v>5500</v>
      </c>
    </row>
    <row r="435" spans="1:18" ht="14.95" customHeight="1" x14ac:dyDescent="0.25">
      <c r="A435" s="7" t="s">
        <v>194</v>
      </c>
      <c r="B435" s="33" t="s">
        <v>366</v>
      </c>
      <c r="C435" s="8">
        <v>400</v>
      </c>
      <c r="D435" s="52">
        <v>0</v>
      </c>
      <c r="E435" s="52">
        <v>0</v>
      </c>
      <c r="F435" s="52">
        <v>0</v>
      </c>
      <c r="G435" s="8">
        <f t="shared" si="61"/>
        <v>400</v>
      </c>
      <c r="H435" s="8">
        <v>0</v>
      </c>
      <c r="I435" s="8">
        <v>0</v>
      </c>
      <c r="J435" s="8">
        <f t="shared" si="67"/>
        <v>400</v>
      </c>
      <c r="K435" s="8">
        <v>0</v>
      </c>
      <c r="L435" s="8">
        <v>0</v>
      </c>
      <c r="M435" s="8">
        <f t="shared" si="64"/>
        <v>400</v>
      </c>
      <c r="N435" s="8">
        <v>0</v>
      </c>
      <c r="O435" s="8">
        <v>0</v>
      </c>
      <c r="P435" s="8">
        <v>0</v>
      </c>
      <c r="Q435" s="99">
        <f t="shared" si="72"/>
        <v>400</v>
      </c>
    </row>
    <row r="436" spans="1:18" ht="27.85" customHeight="1" x14ac:dyDescent="0.25">
      <c r="A436" s="7" t="s">
        <v>250</v>
      </c>
      <c r="B436" s="33" t="s">
        <v>32</v>
      </c>
      <c r="C436" s="8">
        <v>200</v>
      </c>
      <c r="D436" s="52">
        <v>0</v>
      </c>
      <c r="E436" s="52">
        <v>0</v>
      </c>
      <c r="F436" s="52">
        <v>0</v>
      </c>
      <c r="G436" s="8">
        <f t="shared" si="61"/>
        <v>200</v>
      </c>
      <c r="H436" s="8">
        <v>0</v>
      </c>
      <c r="I436" s="8">
        <v>0</v>
      </c>
      <c r="J436" s="8">
        <f t="shared" si="67"/>
        <v>200</v>
      </c>
      <c r="K436" s="8">
        <v>0</v>
      </c>
      <c r="L436" s="8">
        <v>0</v>
      </c>
      <c r="M436" s="8">
        <f t="shared" si="64"/>
        <v>200</v>
      </c>
      <c r="N436" s="8">
        <v>0</v>
      </c>
      <c r="O436" s="8">
        <f>-200</f>
        <v>-200</v>
      </c>
      <c r="P436" s="8">
        <v>0</v>
      </c>
      <c r="Q436" s="99">
        <f t="shared" si="72"/>
        <v>0</v>
      </c>
    </row>
    <row r="437" spans="1:18" ht="27.85" customHeight="1" thickBot="1" x14ac:dyDescent="0.3">
      <c r="A437" s="9" t="s">
        <v>195</v>
      </c>
      <c r="B437" s="25"/>
      <c r="C437" s="10">
        <v>0</v>
      </c>
      <c r="D437" s="57">
        <v>0</v>
      </c>
      <c r="E437" s="57">
        <v>0</v>
      </c>
      <c r="F437" s="57">
        <v>0</v>
      </c>
      <c r="G437" s="10">
        <f t="shared" si="61"/>
        <v>0</v>
      </c>
      <c r="H437" s="10">
        <v>0</v>
      </c>
      <c r="I437" s="10">
        <v>0</v>
      </c>
      <c r="J437" s="10">
        <f t="shared" si="67"/>
        <v>0</v>
      </c>
      <c r="K437" s="10">
        <v>0</v>
      </c>
      <c r="L437" s="10">
        <v>0</v>
      </c>
      <c r="M437" s="10">
        <f t="shared" si="64"/>
        <v>0</v>
      </c>
      <c r="N437" s="10">
        <v>0</v>
      </c>
      <c r="O437" s="10">
        <v>0</v>
      </c>
      <c r="P437" s="10">
        <v>0</v>
      </c>
      <c r="Q437" s="101">
        <f t="shared" si="72"/>
        <v>0</v>
      </c>
    </row>
    <row r="438" spans="1:18" ht="17.7" customHeight="1" thickBot="1" x14ac:dyDescent="0.3">
      <c r="A438" s="36" t="s">
        <v>119</v>
      </c>
      <c r="B438" s="30"/>
      <c r="C438" s="22">
        <f t="shared" ref="C438:I438" si="73">SUM(C440:C443)</f>
        <v>1000</v>
      </c>
      <c r="D438" s="22">
        <f t="shared" si="73"/>
        <v>0</v>
      </c>
      <c r="E438" s="22">
        <f t="shared" si="73"/>
        <v>200</v>
      </c>
      <c r="F438" s="22">
        <f t="shared" si="73"/>
        <v>0</v>
      </c>
      <c r="G438" s="22">
        <f t="shared" si="73"/>
        <v>1200</v>
      </c>
      <c r="H438" s="22">
        <f t="shared" si="73"/>
        <v>0</v>
      </c>
      <c r="I438" s="22">
        <f t="shared" si="73"/>
        <v>0</v>
      </c>
      <c r="J438" s="22">
        <f t="shared" ref="J438:O438" si="74">SUM(J440:J443)</f>
        <v>1200</v>
      </c>
      <c r="K438" s="22">
        <f t="shared" si="74"/>
        <v>0</v>
      </c>
      <c r="L438" s="22">
        <f t="shared" si="74"/>
        <v>0</v>
      </c>
      <c r="M438" s="22">
        <f t="shared" si="74"/>
        <v>1200</v>
      </c>
      <c r="N438" s="22">
        <f t="shared" si="74"/>
        <v>0</v>
      </c>
      <c r="O438" s="22">
        <f t="shared" si="74"/>
        <v>600</v>
      </c>
      <c r="P438" s="22">
        <f>SUM(P440:P443)</f>
        <v>0</v>
      </c>
      <c r="Q438" s="105">
        <f t="shared" si="72"/>
        <v>1800</v>
      </c>
      <c r="R438" s="87"/>
    </row>
    <row r="439" spans="1:18" ht="14.95" customHeight="1" x14ac:dyDescent="0.25">
      <c r="A439" s="37" t="s">
        <v>25</v>
      </c>
      <c r="B439" s="27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99"/>
    </row>
    <row r="440" spans="1:18" ht="14.95" customHeight="1" x14ac:dyDescent="0.25">
      <c r="A440" s="7" t="s">
        <v>196</v>
      </c>
      <c r="B440" s="33" t="s">
        <v>228</v>
      </c>
      <c r="C440" s="8">
        <v>1000</v>
      </c>
      <c r="D440" s="8">
        <v>0</v>
      </c>
      <c r="E440" s="8">
        <v>0</v>
      </c>
      <c r="F440" s="8">
        <v>0</v>
      </c>
      <c r="G440" s="8">
        <f t="shared" si="61"/>
        <v>1000</v>
      </c>
      <c r="H440" s="8">
        <v>0</v>
      </c>
      <c r="I440" s="8">
        <v>0</v>
      </c>
      <c r="J440" s="8">
        <f t="shared" si="67"/>
        <v>1000</v>
      </c>
      <c r="K440" s="8">
        <v>0</v>
      </c>
      <c r="L440" s="8">
        <v>0</v>
      </c>
      <c r="M440" s="8">
        <f t="shared" si="64"/>
        <v>1000</v>
      </c>
      <c r="N440" s="8">
        <v>0</v>
      </c>
      <c r="O440" s="8">
        <v>0</v>
      </c>
      <c r="P440" s="8">
        <v>0</v>
      </c>
      <c r="Q440" s="99">
        <f t="shared" si="72"/>
        <v>1000</v>
      </c>
    </row>
    <row r="441" spans="1:18" ht="27.2" x14ac:dyDescent="0.25">
      <c r="A441" s="7" t="s">
        <v>453</v>
      </c>
      <c r="B441" s="33" t="s">
        <v>454</v>
      </c>
      <c r="C441" s="8">
        <v>0</v>
      </c>
      <c r="D441" s="8"/>
      <c r="E441" s="8"/>
      <c r="F441" s="8"/>
      <c r="G441" s="8"/>
      <c r="H441" s="8"/>
      <c r="I441" s="8"/>
      <c r="J441" s="8"/>
      <c r="K441" s="8"/>
      <c r="L441" s="8"/>
      <c r="M441" s="8">
        <v>0</v>
      </c>
      <c r="N441" s="8">
        <v>0</v>
      </c>
      <c r="O441" s="8">
        <f>600</f>
        <v>600</v>
      </c>
      <c r="P441" s="8">
        <v>0</v>
      </c>
      <c r="Q441" s="99">
        <f t="shared" si="72"/>
        <v>600</v>
      </c>
    </row>
    <row r="442" spans="1:18" ht="27.2" customHeight="1" x14ac:dyDescent="0.25">
      <c r="A442" s="7" t="s">
        <v>287</v>
      </c>
      <c r="B442" s="33" t="s">
        <v>228</v>
      </c>
      <c r="C442" s="8">
        <v>0</v>
      </c>
      <c r="D442" s="8">
        <v>0</v>
      </c>
      <c r="E442" s="8">
        <v>200</v>
      </c>
      <c r="F442" s="8">
        <v>0</v>
      </c>
      <c r="G442" s="8">
        <f t="shared" si="61"/>
        <v>200</v>
      </c>
      <c r="H442" s="8">
        <v>0</v>
      </c>
      <c r="I442" s="8">
        <v>0</v>
      </c>
      <c r="J442" s="8">
        <f t="shared" si="67"/>
        <v>200</v>
      </c>
      <c r="K442" s="8">
        <v>0</v>
      </c>
      <c r="L442" s="8">
        <v>0</v>
      </c>
      <c r="M442" s="8">
        <f t="shared" si="64"/>
        <v>200</v>
      </c>
      <c r="N442" s="8">
        <v>0</v>
      </c>
      <c r="O442" s="8">
        <v>0</v>
      </c>
      <c r="P442" s="8">
        <v>0</v>
      </c>
      <c r="Q442" s="99">
        <f t="shared" si="72"/>
        <v>200</v>
      </c>
    </row>
    <row r="443" spans="1:18" ht="17.7" customHeight="1" thickBot="1" x14ac:dyDescent="0.3">
      <c r="A443" s="35" t="s">
        <v>197</v>
      </c>
      <c r="B443" s="25"/>
      <c r="C443" s="10">
        <v>0</v>
      </c>
      <c r="D443" s="57">
        <v>0</v>
      </c>
      <c r="E443" s="57">
        <v>0</v>
      </c>
      <c r="F443" s="57">
        <v>0</v>
      </c>
      <c r="G443" s="10">
        <f t="shared" si="61"/>
        <v>0</v>
      </c>
      <c r="H443" s="10">
        <v>0</v>
      </c>
      <c r="I443" s="10">
        <v>0</v>
      </c>
      <c r="J443" s="10">
        <f t="shared" si="67"/>
        <v>0</v>
      </c>
      <c r="K443" s="10">
        <v>0</v>
      </c>
      <c r="L443" s="10">
        <v>0</v>
      </c>
      <c r="M443" s="10">
        <f t="shared" si="64"/>
        <v>0</v>
      </c>
      <c r="N443" s="10">
        <v>0</v>
      </c>
      <c r="O443" s="10">
        <v>0</v>
      </c>
      <c r="P443" s="10">
        <v>0</v>
      </c>
      <c r="Q443" s="107">
        <f t="shared" si="72"/>
        <v>0</v>
      </c>
    </row>
    <row r="444" spans="1:18" ht="15.8" customHeight="1" thickBot="1" x14ac:dyDescent="0.3">
      <c r="A444" s="73" t="s">
        <v>152</v>
      </c>
      <c r="B444" s="30"/>
      <c r="C444" s="22">
        <f t="shared" ref="C444:I444" si="75">SUM(C446:C450)</f>
        <v>297185</v>
      </c>
      <c r="D444" s="22">
        <f t="shared" si="75"/>
        <v>-4319</v>
      </c>
      <c r="E444" s="156">
        <f t="shared" si="75"/>
        <v>26830</v>
      </c>
      <c r="F444" s="156">
        <f t="shared" si="75"/>
        <v>410</v>
      </c>
      <c r="G444" s="22">
        <f t="shared" si="75"/>
        <v>320106</v>
      </c>
      <c r="H444" s="22">
        <f t="shared" si="75"/>
        <v>0</v>
      </c>
      <c r="I444" s="22">
        <f t="shared" si="75"/>
        <v>-872</v>
      </c>
      <c r="J444" s="22">
        <f t="shared" ref="J444:O444" si="76">SUM(J446:J450)</f>
        <v>320004</v>
      </c>
      <c r="K444" s="22">
        <f t="shared" si="76"/>
        <v>748</v>
      </c>
      <c r="L444" s="22">
        <f t="shared" si="76"/>
        <v>-851</v>
      </c>
      <c r="M444" s="22">
        <f t="shared" si="76"/>
        <v>319901</v>
      </c>
      <c r="N444" s="22">
        <f t="shared" si="76"/>
        <v>0</v>
      </c>
      <c r="O444" s="22">
        <f t="shared" si="76"/>
        <v>-43000</v>
      </c>
      <c r="P444" s="22">
        <f>SUM(P446:P450)</f>
        <v>892</v>
      </c>
      <c r="Q444" s="105">
        <f t="shared" si="72"/>
        <v>277793</v>
      </c>
      <c r="R444" s="87"/>
    </row>
    <row r="445" spans="1:18" ht="14.95" customHeight="1" x14ac:dyDescent="0.25">
      <c r="A445" s="74" t="s">
        <v>25</v>
      </c>
      <c r="B445" s="27"/>
      <c r="C445" s="6"/>
      <c r="D445" s="6"/>
      <c r="E445" s="71"/>
      <c r="F445" s="71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99"/>
    </row>
    <row r="446" spans="1:18" ht="14.95" customHeight="1" x14ac:dyDescent="0.25">
      <c r="A446" s="75" t="s">
        <v>177</v>
      </c>
      <c r="B446" s="29"/>
      <c r="C446" s="8">
        <v>122529</v>
      </c>
      <c r="D446" s="8">
        <f>16231+13488+23150</f>
        <v>52869</v>
      </c>
      <c r="E446" s="72">
        <v>13938</v>
      </c>
      <c r="F446" s="72">
        <f>10115+33200+9100+240</f>
        <v>52655</v>
      </c>
      <c r="G446" s="8">
        <f>SUM(C446:F446)+1735</f>
        <v>243726</v>
      </c>
      <c r="H446" s="8">
        <v>0</v>
      </c>
      <c r="I446" s="8">
        <f>7100+3810+2000+15601+1110-120</f>
        <v>29501</v>
      </c>
      <c r="J446" s="8">
        <f>SUM(G446:I446)+5089</f>
        <v>278316</v>
      </c>
      <c r="K446" s="8">
        <f>748</f>
        <v>748</v>
      </c>
      <c r="L446" s="8">
        <f>24329+290</f>
        <v>24619</v>
      </c>
      <c r="M446" s="8">
        <f t="shared" si="64"/>
        <v>303683</v>
      </c>
      <c r="N446" s="8">
        <v>0</v>
      </c>
      <c r="O446" s="8">
        <f>-29000</f>
        <v>-29000</v>
      </c>
      <c r="P446" s="8">
        <f>-942</f>
        <v>-942</v>
      </c>
      <c r="Q446" s="99">
        <f t="shared" si="72"/>
        <v>273741</v>
      </c>
    </row>
    <row r="447" spans="1:18" ht="25.15" customHeight="1" x14ac:dyDescent="0.25">
      <c r="A447" s="7" t="s">
        <v>198</v>
      </c>
      <c r="B447" s="29"/>
      <c r="C447" s="8">
        <v>1000</v>
      </c>
      <c r="D447" s="8">
        <v>0</v>
      </c>
      <c r="E447" s="72">
        <v>0</v>
      </c>
      <c r="F447" s="72">
        <v>0</v>
      </c>
      <c r="G447" s="8">
        <f t="shared" si="61"/>
        <v>1000</v>
      </c>
      <c r="H447" s="8">
        <v>0</v>
      </c>
      <c r="I447" s="8">
        <v>0</v>
      </c>
      <c r="J447" s="8">
        <f t="shared" si="67"/>
        <v>1000</v>
      </c>
      <c r="K447" s="8">
        <v>0</v>
      </c>
      <c r="L447" s="8">
        <v>0</v>
      </c>
      <c r="M447" s="8">
        <f t="shared" si="64"/>
        <v>1000</v>
      </c>
      <c r="N447" s="8">
        <v>0</v>
      </c>
      <c r="O447" s="8">
        <f>-1000</f>
        <v>-1000</v>
      </c>
      <c r="P447" s="8">
        <v>0</v>
      </c>
      <c r="Q447" s="99">
        <f t="shared" si="72"/>
        <v>0</v>
      </c>
    </row>
    <row r="448" spans="1:18" ht="14.95" customHeight="1" x14ac:dyDescent="0.25">
      <c r="A448" s="34" t="s">
        <v>199</v>
      </c>
      <c r="B448" s="29"/>
      <c r="C448" s="8">
        <v>170656</v>
      </c>
      <c r="D448" s="8">
        <f>-16836-13552-650-26150</f>
        <v>-57188</v>
      </c>
      <c r="E448" s="8">
        <v>12892</v>
      </c>
      <c r="F448" s="8">
        <f>-9705-33200-9100-240</f>
        <v>-52245</v>
      </c>
      <c r="G448" s="8">
        <f>SUM(C448:F448)-1735</f>
        <v>72380</v>
      </c>
      <c r="H448" s="8">
        <v>0</v>
      </c>
      <c r="I448" s="8">
        <f>-7100-4540-2000-15623-1110</f>
        <v>-30373</v>
      </c>
      <c r="J448" s="8">
        <f>SUM(G448:I448)-4319</f>
        <v>37688</v>
      </c>
      <c r="K448" s="8">
        <v>0</v>
      </c>
      <c r="L448" s="8">
        <f>-25000-130-290-50</f>
        <v>-25470</v>
      </c>
      <c r="M448" s="8">
        <f t="shared" si="64"/>
        <v>12218</v>
      </c>
      <c r="N448" s="8">
        <v>0</v>
      </c>
      <c r="O448" s="8">
        <f>-10000</f>
        <v>-10000</v>
      </c>
      <c r="P448" s="8">
        <f>1834</f>
        <v>1834</v>
      </c>
      <c r="Q448" s="99">
        <f t="shared" si="72"/>
        <v>4052</v>
      </c>
    </row>
    <row r="449" spans="1:18" ht="27.85" customHeight="1" x14ac:dyDescent="0.25">
      <c r="A449" s="7" t="s">
        <v>192</v>
      </c>
      <c r="B449" s="29"/>
      <c r="C449" s="8">
        <v>3000</v>
      </c>
      <c r="D449" s="8">
        <v>0</v>
      </c>
      <c r="E449" s="8">
        <v>0</v>
      </c>
      <c r="F449" s="8">
        <v>0</v>
      </c>
      <c r="G449" s="8">
        <f t="shared" si="61"/>
        <v>3000</v>
      </c>
      <c r="H449" s="8">
        <v>0</v>
      </c>
      <c r="I449" s="8">
        <v>0</v>
      </c>
      <c r="J449" s="8">
        <f t="shared" si="67"/>
        <v>3000</v>
      </c>
      <c r="K449" s="8">
        <v>0</v>
      </c>
      <c r="L449" s="8">
        <v>0</v>
      </c>
      <c r="M449" s="8">
        <f t="shared" si="64"/>
        <v>3000</v>
      </c>
      <c r="N449" s="8">
        <v>0</v>
      </c>
      <c r="O449" s="8">
        <f>-3000</f>
        <v>-3000</v>
      </c>
      <c r="P449" s="8">
        <v>0</v>
      </c>
      <c r="Q449" s="99">
        <f t="shared" si="72"/>
        <v>0</v>
      </c>
    </row>
    <row r="450" spans="1:18" ht="18.350000000000001" customHeight="1" thickBot="1" x14ac:dyDescent="0.3">
      <c r="A450" s="35" t="s">
        <v>200</v>
      </c>
      <c r="B450" s="25"/>
      <c r="C450" s="10">
        <v>0</v>
      </c>
      <c r="D450" s="57">
        <v>0</v>
      </c>
      <c r="E450" s="57">
        <v>0</v>
      </c>
      <c r="F450" s="57">
        <v>0</v>
      </c>
      <c r="G450" s="10">
        <f t="shared" si="61"/>
        <v>0</v>
      </c>
      <c r="H450" s="10">
        <v>0</v>
      </c>
      <c r="I450" s="10">
        <v>0</v>
      </c>
      <c r="J450" s="10">
        <f t="shared" si="67"/>
        <v>0</v>
      </c>
      <c r="K450" s="10">
        <v>0</v>
      </c>
      <c r="L450" s="10">
        <v>0</v>
      </c>
      <c r="M450" s="10">
        <f t="shared" si="64"/>
        <v>0</v>
      </c>
      <c r="N450" s="10">
        <v>0</v>
      </c>
      <c r="O450" s="10">
        <v>0</v>
      </c>
      <c r="P450" s="10">
        <v>0</v>
      </c>
      <c r="Q450" s="101">
        <f t="shared" si="72"/>
        <v>0</v>
      </c>
    </row>
    <row r="451" spans="1:18" ht="15.65" customHeight="1" thickBot="1" x14ac:dyDescent="0.3">
      <c r="A451" s="36" t="s">
        <v>154</v>
      </c>
      <c r="B451" s="30"/>
      <c r="C451" s="22">
        <f t="shared" ref="C451:I451" si="77">SUM(C453:C458)</f>
        <v>6012.4</v>
      </c>
      <c r="D451" s="22">
        <f t="shared" si="77"/>
        <v>0</v>
      </c>
      <c r="E451" s="22">
        <f t="shared" si="77"/>
        <v>-152.99999999999989</v>
      </c>
      <c r="F451" s="22">
        <f t="shared" si="77"/>
        <v>0</v>
      </c>
      <c r="G451" s="22">
        <f t="shared" si="77"/>
        <v>5859.4000000000005</v>
      </c>
      <c r="H451" s="22">
        <f t="shared" si="77"/>
        <v>0</v>
      </c>
      <c r="I451" s="22">
        <f t="shared" si="77"/>
        <v>0</v>
      </c>
      <c r="J451" s="22">
        <f t="shared" ref="J451:O451" si="78">SUM(J453:J458)</f>
        <v>5859.4000000000005</v>
      </c>
      <c r="K451" s="22">
        <f t="shared" si="78"/>
        <v>-116.4</v>
      </c>
      <c r="L451" s="22">
        <f t="shared" si="78"/>
        <v>-600</v>
      </c>
      <c r="M451" s="22">
        <f t="shared" si="78"/>
        <v>5143</v>
      </c>
      <c r="N451" s="22">
        <f t="shared" si="78"/>
        <v>72</v>
      </c>
      <c r="O451" s="22">
        <f t="shared" si="78"/>
        <v>-1110</v>
      </c>
      <c r="P451" s="22">
        <f>SUM(P453:P458)</f>
        <v>168.05</v>
      </c>
      <c r="Q451" s="105">
        <f t="shared" si="72"/>
        <v>4273.05</v>
      </c>
      <c r="R451" s="87"/>
    </row>
    <row r="452" spans="1:18" ht="14.95" customHeight="1" x14ac:dyDescent="0.25">
      <c r="A452" s="37" t="s">
        <v>25</v>
      </c>
      <c r="B452" s="27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99"/>
    </row>
    <row r="453" spans="1:18" ht="14.95" customHeight="1" x14ac:dyDescent="0.25">
      <c r="A453" s="34" t="s">
        <v>202</v>
      </c>
      <c r="B453" s="29"/>
      <c r="C453" s="8">
        <v>1000</v>
      </c>
      <c r="D453" s="8">
        <v>0</v>
      </c>
      <c r="E453" s="8">
        <v>0</v>
      </c>
      <c r="F453" s="8">
        <v>0</v>
      </c>
      <c r="G453" s="8">
        <f t="shared" si="61"/>
        <v>1000</v>
      </c>
      <c r="H453" s="8">
        <v>0</v>
      </c>
      <c r="I453" s="8">
        <v>0</v>
      </c>
      <c r="J453" s="8">
        <f t="shared" si="67"/>
        <v>1000</v>
      </c>
      <c r="K453" s="8">
        <v>0</v>
      </c>
      <c r="L453" s="8">
        <v>0</v>
      </c>
      <c r="M453" s="8">
        <f t="shared" si="64"/>
        <v>1000</v>
      </c>
      <c r="N453" s="8">
        <v>0</v>
      </c>
      <c r="O453" s="8">
        <f>-1000</f>
        <v>-1000</v>
      </c>
      <c r="P453" s="8">
        <v>0</v>
      </c>
      <c r="Q453" s="99">
        <f t="shared" si="72"/>
        <v>0</v>
      </c>
    </row>
    <row r="454" spans="1:18" ht="14.95" customHeight="1" x14ac:dyDescent="0.25">
      <c r="A454" s="34" t="s">
        <v>177</v>
      </c>
      <c r="B454" s="29"/>
      <c r="C454" s="8">
        <v>3000</v>
      </c>
      <c r="D454" s="8">
        <v>0</v>
      </c>
      <c r="E454" s="8">
        <v>60</v>
      </c>
      <c r="F454" s="8">
        <f>98.01</f>
        <v>98.01</v>
      </c>
      <c r="G454" s="8">
        <f t="shared" si="61"/>
        <v>3158.01</v>
      </c>
      <c r="H454" s="8">
        <v>0</v>
      </c>
      <c r="I454" s="8">
        <v>0</v>
      </c>
      <c r="J454" s="8">
        <f t="shared" si="67"/>
        <v>3158.01</v>
      </c>
      <c r="K454" s="8">
        <f>-116.4</f>
        <v>-116.4</v>
      </c>
      <c r="L454" s="8">
        <v>0</v>
      </c>
      <c r="M454" s="8">
        <f t="shared" si="64"/>
        <v>3041.61</v>
      </c>
      <c r="N454" s="8">
        <f>72</f>
        <v>72</v>
      </c>
      <c r="O454" s="8">
        <v>0</v>
      </c>
      <c r="P454" s="8">
        <v>0</v>
      </c>
      <c r="Q454" s="99">
        <f t="shared" si="72"/>
        <v>3113.61</v>
      </c>
    </row>
    <row r="455" spans="1:18" ht="17.7" customHeight="1" x14ac:dyDescent="0.25">
      <c r="A455" s="34" t="s">
        <v>473</v>
      </c>
      <c r="B455" s="29" t="s">
        <v>474</v>
      </c>
      <c r="C455" s="8">
        <v>0</v>
      </c>
      <c r="D455" s="8"/>
      <c r="E455" s="8"/>
      <c r="F455" s="8"/>
      <c r="G455" s="8"/>
      <c r="H455" s="8"/>
      <c r="I455" s="8"/>
      <c r="J455" s="8"/>
      <c r="K455" s="8"/>
      <c r="L455" s="8"/>
      <c r="M455" s="8">
        <v>0</v>
      </c>
      <c r="N455" s="8">
        <v>0</v>
      </c>
      <c r="O455" s="8">
        <v>0</v>
      </c>
      <c r="P455" s="8">
        <f>168.05</f>
        <v>168.05</v>
      </c>
      <c r="Q455" s="99">
        <f>SUM(M455:P455)</f>
        <v>168.05</v>
      </c>
    </row>
    <row r="456" spans="1:18" ht="27.85" customHeight="1" x14ac:dyDescent="0.25">
      <c r="A456" s="7" t="s">
        <v>203</v>
      </c>
      <c r="B456" s="33" t="s">
        <v>252</v>
      </c>
      <c r="C456" s="8">
        <v>2012.4</v>
      </c>
      <c r="D456" s="8">
        <v>0</v>
      </c>
      <c r="E456" s="8">
        <v>-1221.0999999999999</v>
      </c>
      <c r="F456" s="8">
        <v>0</v>
      </c>
      <c r="G456" s="8">
        <f t="shared" si="61"/>
        <v>791.30000000000018</v>
      </c>
      <c r="H456" s="8">
        <v>0</v>
      </c>
      <c r="I456" s="8">
        <v>0</v>
      </c>
      <c r="J456" s="8">
        <f t="shared" si="67"/>
        <v>791.30000000000018</v>
      </c>
      <c r="K456" s="8">
        <v>0</v>
      </c>
      <c r="L456" s="8">
        <v>0</v>
      </c>
      <c r="M456" s="8">
        <f t="shared" si="64"/>
        <v>791.30000000000018</v>
      </c>
      <c r="N456" s="8">
        <v>0</v>
      </c>
      <c r="O456" s="8">
        <v>0</v>
      </c>
      <c r="P456" s="8">
        <v>0</v>
      </c>
      <c r="Q456" s="99">
        <f t="shared" si="72"/>
        <v>791.30000000000018</v>
      </c>
    </row>
    <row r="457" spans="1:18" ht="26.35" customHeight="1" x14ac:dyDescent="0.25">
      <c r="A457" s="7" t="s">
        <v>288</v>
      </c>
      <c r="B457" s="33"/>
      <c r="C457" s="8">
        <v>0</v>
      </c>
      <c r="D457" s="8">
        <v>0</v>
      </c>
      <c r="E457" s="8">
        <v>200</v>
      </c>
      <c r="F457" s="8">
        <v>0</v>
      </c>
      <c r="G457" s="8">
        <f t="shared" si="61"/>
        <v>200</v>
      </c>
      <c r="H457" s="8">
        <v>0</v>
      </c>
      <c r="I457" s="8">
        <v>0</v>
      </c>
      <c r="J457" s="8">
        <f t="shared" si="67"/>
        <v>200</v>
      </c>
      <c r="K457" s="8">
        <v>0</v>
      </c>
      <c r="L457" s="8">
        <v>0</v>
      </c>
      <c r="M457" s="8">
        <f t="shared" si="64"/>
        <v>200</v>
      </c>
      <c r="N457" s="8">
        <v>0</v>
      </c>
      <c r="O457" s="8">
        <v>0</v>
      </c>
      <c r="P457" s="8">
        <v>0</v>
      </c>
      <c r="Q457" s="99">
        <f t="shared" si="72"/>
        <v>200</v>
      </c>
    </row>
    <row r="458" spans="1:18" ht="26.5" customHeight="1" thickBot="1" x14ac:dyDescent="0.3">
      <c r="A458" s="9" t="s">
        <v>204</v>
      </c>
      <c r="B458" s="25"/>
      <c r="C458" s="10">
        <v>0</v>
      </c>
      <c r="D458" s="57">
        <v>0</v>
      </c>
      <c r="E458" s="57">
        <v>808.1</v>
      </c>
      <c r="F458" s="57">
        <f>-98.01</f>
        <v>-98.01</v>
      </c>
      <c r="G458" s="10">
        <f t="shared" si="61"/>
        <v>710.09</v>
      </c>
      <c r="H458" s="10">
        <v>0</v>
      </c>
      <c r="I458" s="10">
        <v>0</v>
      </c>
      <c r="J458" s="10">
        <f t="shared" si="67"/>
        <v>710.09</v>
      </c>
      <c r="K458" s="10">
        <v>0</v>
      </c>
      <c r="L458" s="10">
        <f>-600</f>
        <v>-600</v>
      </c>
      <c r="M458" s="10">
        <f t="shared" si="64"/>
        <v>110.09000000000003</v>
      </c>
      <c r="N458" s="10">
        <v>0</v>
      </c>
      <c r="O458" s="10">
        <f>-110</f>
        <v>-110</v>
      </c>
      <c r="P458" s="10">
        <v>0</v>
      </c>
      <c r="Q458" s="101">
        <f t="shared" si="72"/>
        <v>9.0000000000031832E-2</v>
      </c>
    </row>
    <row r="459" spans="1:18" ht="15.8" customHeight="1" thickBot="1" x14ac:dyDescent="0.3">
      <c r="A459" s="36" t="s">
        <v>168</v>
      </c>
      <c r="B459" s="30"/>
      <c r="C459" s="86">
        <f t="shared" ref="C459:I459" si="79">SUM(C461)</f>
        <v>0</v>
      </c>
      <c r="D459" s="86">
        <f t="shared" si="79"/>
        <v>0</v>
      </c>
      <c r="E459" s="86">
        <f t="shared" si="79"/>
        <v>80</v>
      </c>
      <c r="F459" s="86">
        <f t="shared" si="79"/>
        <v>0</v>
      </c>
      <c r="G459" s="86">
        <f t="shared" si="79"/>
        <v>80</v>
      </c>
      <c r="H459" s="86">
        <f t="shared" si="79"/>
        <v>0</v>
      </c>
      <c r="I459" s="86">
        <f t="shared" si="79"/>
        <v>0</v>
      </c>
      <c r="J459" s="22">
        <f t="shared" ref="J459:O459" si="80">SUM(J461)</f>
        <v>80</v>
      </c>
      <c r="K459" s="22">
        <f t="shared" si="80"/>
        <v>0</v>
      </c>
      <c r="L459" s="22">
        <f t="shared" si="80"/>
        <v>0</v>
      </c>
      <c r="M459" s="22">
        <f t="shared" si="80"/>
        <v>80</v>
      </c>
      <c r="N459" s="22">
        <f t="shared" si="80"/>
        <v>0</v>
      </c>
      <c r="O459" s="22">
        <f t="shared" si="80"/>
        <v>0</v>
      </c>
      <c r="P459" s="22">
        <f>SUM(P461)</f>
        <v>0</v>
      </c>
      <c r="Q459" s="105">
        <f t="shared" si="72"/>
        <v>80</v>
      </c>
      <c r="R459" s="87"/>
    </row>
    <row r="460" spans="1:18" ht="14.95" customHeight="1" x14ac:dyDescent="0.25">
      <c r="A460" s="37" t="s">
        <v>25</v>
      </c>
      <c r="B460" s="27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99"/>
    </row>
    <row r="461" spans="1:18" ht="15.65" customHeight="1" thickBot="1" x14ac:dyDescent="0.3">
      <c r="A461" s="35" t="s">
        <v>177</v>
      </c>
      <c r="B461" s="25"/>
      <c r="C461" s="10">
        <v>0</v>
      </c>
      <c r="D461" s="10">
        <v>0</v>
      </c>
      <c r="E461" s="10">
        <v>80</v>
      </c>
      <c r="F461" s="10">
        <v>0</v>
      </c>
      <c r="G461" s="10">
        <f t="shared" si="61"/>
        <v>80</v>
      </c>
      <c r="H461" s="10">
        <v>0</v>
      </c>
      <c r="I461" s="10">
        <v>0</v>
      </c>
      <c r="J461" s="10">
        <f t="shared" si="67"/>
        <v>80</v>
      </c>
      <c r="K461" s="10">
        <v>0</v>
      </c>
      <c r="L461" s="10">
        <v>0</v>
      </c>
      <c r="M461" s="10">
        <f t="shared" si="64"/>
        <v>80</v>
      </c>
      <c r="N461" s="10">
        <v>0</v>
      </c>
      <c r="O461" s="10">
        <v>0</v>
      </c>
      <c r="P461" s="10">
        <v>0</v>
      </c>
      <c r="Q461" s="101">
        <f t="shared" si="72"/>
        <v>80</v>
      </c>
    </row>
    <row r="462" spans="1:18" ht="15.8" customHeight="1" thickBot="1" x14ac:dyDescent="0.3">
      <c r="A462" s="36" t="s">
        <v>170</v>
      </c>
      <c r="B462" s="30"/>
      <c r="C462" s="22">
        <f t="shared" ref="C462:I462" si="81">SUM(C464)</f>
        <v>23683.5</v>
      </c>
      <c r="D462" s="22">
        <f t="shared" si="81"/>
        <v>312</v>
      </c>
      <c r="E462" s="22">
        <f t="shared" si="81"/>
        <v>9220</v>
      </c>
      <c r="F462" s="22">
        <f t="shared" si="81"/>
        <v>-2863.75</v>
      </c>
      <c r="G462" s="22">
        <f t="shared" si="81"/>
        <v>27706.75</v>
      </c>
      <c r="H462" s="22">
        <f t="shared" si="81"/>
        <v>0</v>
      </c>
      <c r="I462" s="22">
        <f t="shared" si="81"/>
        <v>-3604.5</v>
      </c>
      <c r="J462" s="22">
        <f t="shared" ref="J462:O462" si="82">SUM(J464)</f>
        <v>24102.25</v>
      </c>
      <c r="K462" s="22">
        <f t="shared" si="82"/>
        <v>0</v>
      </c>
      <c r="L462" s="22">
        <f t="shared" si="82"/>
        <v>-369</v>
      </c>
      <c r="M462" s="22">
        <f t="shared" si="82"/>
        <v>23733.25</v>
      </c>
      <c r="N462" s="22">
        <f t="shared" si="82"/>
        <v>-1555</v>
      </c>
      <c r="O462" s="22">
        <f t="shared" si="82"/>
        <v>-502</v>
      </c>
      <c r="P462" s="22">
        <f>SUM(P464)</f>
        <v>-269.7</v>
      </c>
      <c r="Q462" s="105">
        <f t="shared" si="72"/>
        <v>21406.55</v>
      </c>
      <c r="R462" s="87"/>
    </row>
    <row r="463" spans="1:18" ht="14.95" customHeight="1" x14ac:dyDescent="0.25">
      <c r="A463" s="37" t="s">
        <v>25</v>
      </c>
      <c r="B463" s="27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99"/>
    </row>
    <row r="464" spans="1:18" ht="14.95" customHeight="1" thickBot="1" x14ac:dyDescent="0.3">
      <c r="A464" s="35" t="s">
        <v>177</v>
      </c>
      <c r="B464" s="25"/>
      <c r="C464" s="10">
        <v>23683.5</v>
      </c>
      <c r="D464" s="10">
        <f>150+162</f>
        <v>312</v>
      </c>
      <c r="E464" s="10">
        <v>9220</v>
      </c>
      <c r="F464" s="10">
        <f>-413.82-710.13+231-1885.5-85.3</f>
        <v>-2863.75</v>
      </c>
      <c r="G464" s="10">
        <f>SUM(C464:F464)-2645</f>
        <v>27706.75</v>
      </c>
      <c r="H464" s="10">
        <v>0</v>
      </c>
      <c r="I464" s="10">
        <f>-3137.5-467</f>
        <v>-3604.5</v>
      </c>
      <c r="J464" s="10">
        <f t="shared" si="67"/>
        <v>24102.25</v>
      </c>
      <c r="K464" s="10">
        <v>0</v>
      </c>
      <c r="L464" s="10">
        <f>-369</f>
        <v>-369</v>
      </c>
      <c r="M464" s="10">
        <f t="shared" si="64"/>
        <v>23733.25</v>
      </c>
      <c r="N464" s="10">
        <f>-1500-55</f>
        <v>-1555</v>
      </c>
      <c r="O464" s="10">
        <f>-502</f>
        <v>-502</v>
      </c>
      <c r="P464" s="10">
        <f>-335+65.3</f>
        <v>-269.7</v>
      </c>
      <c r="Q464" s="107">
        <f t="shared" si="72"/>
        <v>21406.55</v>
      </c>
    </row>
    <row r="465" spans="1:18" ht="15.65" customHeight="1" thickBot="1" x14ac:dyDescent="0.3">
      <c r="A465" s="40" t="s">
        <v>172</v>
      </c>
      <c r="B465" s="30"/>
      <c r="C465" s="22">
        <f>SUM(C467:C468)</f>
        <v>1000</v>
      </c>
      <c r="D465" s="22">
        <f t="shared" ref="D465:I465" si="83">SUM(D467:D468)</f>
        <v>0</v>
      </c>
      <c r="E465" s="22">
        <f t="shared" si="83"/>
        <v>11500</v>
      </c>
      <c r="F465" s="22">
        <f t="shared" si="83"/>
        <v>0</v>
      </c>
      <c r="G465" s="22">
        <f t="shared" si="83"/>
        <v>12500</v>
      </c>
      <c r="H465" s="22">
        <f t="shared" si="83"/>
        <v>0</v>
      </c>
      <c r="I465" s="22">
        <f t="shared" si="83"/>
        <v>0</v>
      </c>
      <c r="J465" s="22">
        <f t="shared" ref="J465:N465" si="84">SUM(J467:J468)</f>
        <v>12700</v>
      </c>
      <c r="K465" s="22">
        <f t="shared" si="84"/>
        <v>100</v>
      </c>
      <c r="L465" s="22">
        <f t="shared" si="84"/>
        <v>0</v>
      </c>
      <c r="M465" s="22">
        <f t="shared" si="84"/>
        <v>12800</v>
      </c>
      <c r="N465" s="22">
        <f t="shared" si="84"/>
        <v>18</v>
      </c>
      <c r="O465" s="22">
        <f>SUM(O467:O468)</f>
        <v>-11500</v>
      </c>
      <c r="P465" s="22">
        <f>SUM(P467:P468)</f>
        <v>0</v>
      </c>
      <c r="Q465" s="105">
        <f t="shared" si="72"/>
        <v>1318</v>
      </c>
      <c r="R465" s="87"/>
    </row>
    <row r="466" spans="1:18" ht="14.95" customHeight="1" x14ac:dyDescent="0.25">
      <c r="A466" s="37" t="s">
        <v>25</v>
      </c>
      <c r="B466" s="27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99"/>
    </row>
    <row r="467" spans="1:18" ht="18.350000000000001" customHeight="1" x14ac:dyDescent="0.25">
      <c r="A467" s="34" t="s">
        <v>177</v>
      </c>
      <c r="B467" s="29"/>
      <c r="C467" s="8">
        <v>0</v>
      </c>
      <c r="D467" s="8">
        <v>0</v>
      </c>
      <c r="E467" s="8">
        <v>11500</v>
      </c>
      <c r="F467" s="8">
        <v>0</v>
      </c>
      <c r="G467" s="8">
        <f t="shared" si="61"/>
        <v>11500</v>
      </c>
      <c r="H467" s="8">
        <v>0</v>
      </c>
      <c r="I467" s="8">
        <v>0</v>
      </c>
      <c r="J467" s="8">
        <f>SUM(G467:I467)+200</f>
        <v>11700</v>
      </c>
      <c r="K467" s="8">
        <f>100</f>
        <v>100</v>
      </c>
      <c r="L467" s="8">
        <v>0</v>
      </c>
      <c r="M467" s="8">
        <f t="shared" ref="M467:M479" si="85">SUM(J467:L467)</f>
        <v>11800</v>
      </c>
      <c r="N467" s="8">
        <f>18</f>
        <v>18</v>
      </c>
      <c r="O467" s="8">
        <f>-11500</f>
        <v>-11500</v>
      </c>
      <c r="P467" s="8">
        <v>0</v>
      </c>
      <c r="Q467" s="99">
        <f t="shared" si="72"/>
        <v>318</v>
      </c>
    </row>
    <row r="468" spans="1:18" ht="30.1" customHeight="1" thickBot="1" x14ac:dyDescent="0.3">
      <c r="A468" s="144" t="s">
        <v>205</v>
      </c>
      <c r="B468" s="48" t="s">
        <v>228</v>
      </c>
      <c r="C468" s="10">
        <v>1000</v>
      </c>
      <c r="D468" s="10">
        <v>0</v>
      </c>
      <c r="E468" s="10">
        <v>0</v>
      </c>
      <c r="F468" s="10">
        <v>0</v>
      </c>
      <c r="G468" s="10">
        <f>SUM(C468:F468)</f>
        <v>1000</v>
      </c>
      <c r="H468" s="10">
        <v>0</v>
      </c>
      <c r="I468" s="10">
        <v>0</v>
      </c>
      <c r="J468" s="10">
        <f t="shared" si="67"/>
        <v>1000</v>
      </c>
      <c r="K468" s="10">
        <v>0</v>
      </c>
      <c r="L468" s="10">
        <v>0</v>
      </c>
      <c r="M468" s="10">
        <f t="shared" si="85"/>
        <v>1000</v>
      </c>
      <c r="N468" s="10">
        <v>0</v>
      </c>
      <c r="O468" s="10">
        <v>0</v>
      </c>
      <c r="P468" s="10">
        <v>0</v>
      </c>
      <c r="Q468" s="107">
        <f t="shared" si="72"/>
        <v>1000</v>
      </c>
    </row>
    <row r="469" spans="1:18" ht="17.350000000000001" customHeight="1" thickBot="1" x14ac:dyDescent="0.3">
      <c r="A469" s="41" t="s">
        <v>206</v>
      </c>
      <c r="B469" s="140"/>
      <c r="C469" s="42">
        <f>C375+C378+C383+C394+C398+C402+C426+C430+C438+C444+C451+C459+C462+C465</f>
        <v>705803.25000000012</v>
      </c>
      <c r="D469" s="42">
        <f>SUM(D375+D378+D383+D394+D398+D402+D426+D430+D438+D444+D451+D459+D462+D465)</f>
        <v>6115.1</v>
      </c>
      <c r="E469" s="42">
        <f>SUM(E375+E378+E383+E394+E398+E402+E426+E430+E438+E444+E451+E459+E462+E465)</f>
        <v>170215.43</v>
      </c>
      <c r="F469" s="42">
        <f>SUM(F375+F378+F383+F394+F398+F402+F426+F430+F438+F444+F451+F459+F462+F465)</f>
        <v>-7693.55</v>
      </c>
      <c r="G469" s="42">
        <f>SUM(G375+G378+G383+G394+G398+G402+G426+G430+G438+G444+G451+G459+G462+G465)</f>
        <v>873047.83</v>
      </c>
      <c r="H469" s="42">
        <f>H375+H378+H383+H394+H398+H402+H426+H430+H438+H444+H451+H459+H462+H465</f>
        <v>22595</v>
      </c>
      <c r="I469" s="42">
        <f t="shared" ref="I469:O469" si="86">SUM(I375+I378+I383+I394+I398+I402+I426+I430+I438+I444+I451+I459+I462+I465)</f>
        <v>-14838.869999999999</v>
      </c>
      <c r="J469" s="42">
        <f t="shared" si="86"/>
        <v>880382.28000000014</v>
      </c>
      <c r="K469" s="42">
        <f t="shared" si="86"/>
        <v>7768.1100000000006</v>
      </c>
      <c r="L469" s="42">
        <f t="shared" si="86"/>
        <v>-5523.34</v>
      </c>
      <c r="M469" s="42">
        <f t="shared" si="86"/>
        <v>882627.05</v>
      </c>
      <c r="N469" s="42">
        <f t="shared" si="86"/>
        <v>-1217.44</v>
      </c>
      <c r="O469" s="42">
        <f t="shared" si="86"/>
        <v>-420038.27</v>
      </c>
      <c r="P469" s="42">
        <f>SUM(P375+P378+P383+P394+P398+P402+P426+P430+P438+P444+P451+P459+P462+P465)</f>
        <v>14.92999999999995</v>
      </c>
      <c r="Q469" s="133">
        <f t="shared" si="72"/>
        <v>461386.27000000008</v>
      </c>
      <c r="R469" s="87"/>
    </row>
    <row r="470" spans="1:18" ht="18" customHeight="1" thickBot="1" x14ac:dyDescent="0.3">
      <c r="A470" s="63" t="s">
        <v>207</v>
      </c>
      <c r="B470" s="64"/>
      <c r="C470" s="42">
        <f>C372+C469</f>
        <v>2352900.15</v>
      </c>
      <c r="D470" s="42">
        <f>SUM(D372+D469)</f>
        <v>9621.1500000000015</v>
      </c>
      <c r="E470" s="42">
        <f>SUM(E372+E469)</f>
        <v>235720.94999999998</v>
      </c>
      <c r="F470" s="42">
        <f>SUM(F372+F469)</f>
        <v>18788.77</v>
      </c>
      <c r="G470" s="42">
        <f>SUM(G372+G469)</f>
        <v>2617230.9699999997</v>
      </c>
      <c r="H470" s="42">
        <f>H372+H469</f>
        <v>36540.35</v>
      </c>
      <c r="I470" s="42">
        <f t="shared" ref="I470:O470" si="87">SUM(I372+I469)</f>
        <v>3013.630000000001</v>
      </c>
      <c r="J470" s="42">
        <f t="shared" si="87"/>
        <v>2661410.4700000002</v>
      </c>
      <c r="K470" s="42">
        <f t="shared" si="87"/>
        <v>19637.73</v>
      </c>
      <c r="L470" s="42">
        <f t="shared" si="87"/>
        <v>6821.3600000000006</v>
      </c>
      <c r="M470" s="42">
        <f t="shared" si="87"/>
        <v>2687869.5599999996</v>
      </c>
      <c r="N470" s="42">
        <f t="shared" si="87"/>
        <v>7056.4199999999983</v>
      </c>
      <c r="O470" s="42">
        <f t="shared" si="87"/>
        <v>-437609.91000000003</v>
      </c>
      <c r="P470" s="42">
        <f>SUM(P372+P469)</f>
        <v>157.75999999999982</v>
      </c>
      <c r="Q470" s="133">
        <f t="shared" si="72"/>
        <v>2257473.8299999991</v>
      </c>
      <c r="R470" s="87"/>
    </row>
    <row r="471" spans="1:18" ht="14.3" customHeight="1" thickBot="1" x14ac:dyDescent="0.3">
      <c r="A471" s="78"/>
      <c r="B471" s="79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01"/>
    </row>
    <row r="472" spans="1:18" ht="14.95" customHeight="1" thickBot="1" x14ac:dyDescent="0.3">
      <c r="A472" s="14" t="s">
        <v>208</v>
      </c>
      <c r="B472" s="43"/>
      <c r="C472" s="15"/>
      <c r="D472" s="15"/>
      <c r="E472" s="15"/>
      <c r="F472" s="15"/>
      <c r="G472" s="15"/>
      <c r="H472" s="15"/>
      <c r="I472" s="15"/>
      <c r="J472" s="15"/>
      <c r="K472" s="15"/>
      <c r="L472" s="15"/>
      <c r="M472" s="15"/>
      <c r="N472" s="15"/>
      <c r="O472" s="15"/>
      <c r="P472" s="15"/>
      <c r="Q472" s="102"/>
    </row>
    <row r="473" spans="1:18" ht="14.95" customHeight="1" x14ac:dyDescent="0.25">
      <c r="A473" s="5" t="s">
        <v>209</v>
      </c>
      <c r="B473" s="27"/>
      <c r="C473" s="6">
        <v>12800</v>
      </c>
      <c r="D473" s="6">
        <v>0</v>
      </c>
      <c r="E473" s="6">
        <v>1014.79</v>
      </c>
      <c r="F473" s="6">
        <v>0</v>
      </c>
      <c r="G473" s="6">
        <f t="shared" ref="G473:G485" si="88">SUM(C473:F473)</f>
        <v>13814.79</v>
      </c>
      <c r="H473" s="6">
        <v>0</v>
      </c>
      <c r="I473" s="6">
        <v>0</v>
      </c>
      <c r="J473" s="6">
        <f t="shared" si="67"/>
        <v>13814.79</v>
      </c>
      <c r="K473" s="6">
        <v>0</v>
      </c>
      <c r="L473" s="6">
        <v>0</v>
      </c>
      <c r="M473" s="6">
        <f t="shared" si="85"/>
        <v>13814.79</v>
      </c>
      <c r="N473" s="6">
        <v>0</v>
      </c>
      <c r="O473" s="6">
        <v>0</v>
      </c>
      <c r="P473" s="6">
        <v>0</v>
      </c>
      <c r="Q473" s="99">
        <f t="shared" si="72"/>
        <v>13814.79</v>
      </c>
    </row>
    <row r="474" spans="1:18" ht="26.5" customHeight="1" x14ac:dyDescent="0.25">
      <c r="A474" s="7" t="s">
        <v>210</v>
      </c>
      <c r="B474" s="29"/>
      <c r="C474" s="8">
        <v>0</v>
      </c>
      <c r="D474" s="52">
        <v>0</v>
      </c>
      <c r="E474" s="52">
        <v>0</v>
      </c>
      <c r="F474" s="52">
        <v>0</v>
      </c>
      <c r="G474" s="8">
        <f>SUM(C474:F474)</f>
        <v>0</v>
      </c>
      <c r="H474" s="8">
        <v>0</v>
      </c>
      <c r="I474" s="8">
        <v>0</v>
      </c>
      <c r="J474" s="8">
        <f t="shared" si="67"/>
        <v>0</v>
      </c>
      <c r="K474" s="8">
        <v>0</v>
      </c>
      <c r="L474" s="8">
        <v>0</v>
      </c>
      <c r="M474" s="8">
        <f t="shared" si="85"/>
        <v>0</v>
      </c>
      <c r="N474" s="8">
        <v>0</v>
      </c>
      <c r="O474" s="8">
        <v>0</v>
      </c>
      <c r="P474" s="8">
        <v>0</v>
      </c>
      <c r="Q474" s="97">
        <f t="shared" si="72"/>
        <v>0</v>
      </c>
    </row>
    <row r="475" spans="1:18" ht="14.95" customHeight="1" x14ac:dyDescent="0.25">
      <c r="A475" s="7" t="s">
        <v>211</v>
      </c>
      <c r="B475" s="29"/>
      <c r="C475" s="8">
        <v>0</v>
      </c>
      <c r="D475" s="52">
        <v>0</v>
      </c>
      <c r="E475" s="52">
        <v>0</v>
      </c>
      <c r="F475" s="52">
        <v>0</v>
      </c>
      <c r="G475" s="8">
        <f t="shared" si="88"/>
        <v>0</v>
      </c>
      <c r="H475" s="8">
        <v>0</v>
      </c>
      <c r="I475" s="8">
        <v>0</v>
      </c>
      <c r="J475" s="8">
        <f t="shared" si="67"/>
        <v>0</v>
      </c>
      <c r="K475" s="8">
        <v>0</v>
      </c>
      <c r="L475" s="8">
        <v>0</v>
      </c>
      <c r="M475" s="8">
        <f t="shared" si="85"/>
        <v>0</v>
      </c>
      <c r="N475" s="8">
        <v>0</v>
      </c>
      <c r="O475" s="8">
        <v>0</v>
      </c>
      <c r="P475" s="8">
        <v>0</v>
      </c>
      <c r="Q475" s="99">
        <f t="shared" si="72"/>
        <v>0</v>
      </c>
    </row>
    <row r="476" spans="1:18" ht="14.95" customHeight="1" x14ac:dyDescent="0.25">
      <c r="A476" s="7" t="s">
        <v>212</v>
      </c>
      <c r="B476" s="29"/>
      <c r="C476" s="8">
        <v>5451</v>
      </c>
      <c r="D476" s="52">
        <v>0</v>
      </c>
      <c r="E476" s="52">
        <v>0</v>
      </c>
      <c r="F476" s="52">
        <v>0</v>
      </c>
      <c r="G476" s="8">
        <f>SUM(C476:F476)</f>
        <v>5451</v>
      </c>
      <c r="H476" s="8">
        <v>0</v>
      </c>
      <c r="I476" s="8">
        <v>0</v>
      </c>
      <c r="J476" s="8">
        <f t="shared" si="67"/>
        <v>5451</v>
      </c>
      <c r="K476" s="8">
        <v>0</v>
      </c>
      <c r="L476" s="8">
        <v>0</v>
      </c>
      <c r="M476" s="8">
        <f t="shared" si="85"/>
        <v>5451</v>
      </c>
      <c r="N476" s="8">
        <v>0</v>
      </c>
      <c r="O476" s="8">
        <v>0</v>
      </c>
      <c r="P476" s="8">
        <v>0</v>
      </c>
      <c r="Q476" s="99">
        <f t="shared" si="72"/>
        <v>5451</v>
      </c>
    </row>
    <row r="477" spans="1:18" ht="14.95" customHeight="1" x14ac:dyDescent="0.25">
      <c r="A477" s="7" t="s">
        <v>213</v>
      </c>
      <c r="B477" s="29"/>
      <c r="C477" s="8">
        <v>0</v>
      </c>
      <c r="D477" s="52">
        <v>0</v>
      </c>
      <c r="E477" s="52">
        <v>0</v>
      </c>
      <c r="F477" s="52">
        <v>0</v>
      </c>
      <c r="G477" s="8">
        <f t="shared" si="88"/>
        <v>0</v>
      </c>
      <c r="H477" s="8">
        <v>0</v>
      </c>
      <c r="I477" s="8">
        <v>0</v>
      </c>
      <c r="J477" s="8">
        <f t="shared" si="67"/>
        <v>0</v>
      </c>
      <c r="K477" s="8">
        <v>0</v>
      </c>
      <c r="L477" s="8">
        <v>0</v>
      </c>
      <c r="M477" s="8">
        <f t="shared" si="85"/>
        <v>0</v>
      </c>
      <c r="N477" s="8">
        <v>0</v>
      </c>
      <c r="O477" s="8">
        <f>324311.2+14552.48+1475+28905+6360.41+30090+200+1555+10050</f>
        <v>417499.08999999997</v>
      </c>
      <c r="P477" s="8">
        <v>0</v>
      </c>
      <c r="Q477" s="99">
        <f t="shared" si="72"/>
        <v>417499.08999999997</v>
      </c>
    </row>
    <row r="478" spans="1:18" ht="14.95" customHeight="1" x14ac:dyDescent="0.25">
      <c r="A478" s="7" t="s">
        <v>214</v>
      </c>
      <c r="B478" s="29"/>
      <c r="C478" s="8">
        <v>0</v>
      </c>
      <c r="D478" s="52">
        <v>0</v>
      </c>
      <c r="E478" s="52">
        <v>0</v>
      </c>
      <c r="F478" s="52">
        <v>0</v>
      </c>
      <c r="G478" s="8">
        <f t="shared" si="88"/>
        <v>0</v>
      </c>
      <c r="H478" s="8">
        <v>0</v>
      </c>
      <c r="I478" s="8">
        <v>0</v>
      </c>
      <c r="J478" s="8">
        <f t="shared" si="67"/>
        <v>0</v>
      </c>
      <c r="K478" s="8">
        <v>0</v>
      </c>
      <c r="L478" s="8">
        <v>0</v>
      </c>
      <c r="M478" s="8">
        <f t="shared" si="85"/>
        <v>0</v>
      </c>
      <c r="N478" s="8">
        <v>0</v>
      </c>
      <c r="O478" s="8">
        <f>72+4940+200+3225.68+1942+6780+210+10200+3163.52+1261+1450</f>
        <v>33444.199999999997</v>
      </c>
      <c r="P478" s="8">
        <v>0</v>
      </c>
      <c r="Q478" s="99">
        <f>SUM(M478:P478)</f>
        <v>33444.199999999997</v>
      </c>
    </row>
    <row r="479" spans="1:18" ht="14.95" customHeight="1" thickBot="1" x14ac:dyDescent="0.3">
      <c r="A479" s="67" t="s">
        <v>215</v>
      </c>
      <c r="B479" s="25"/>
      <c r="C479" s="122">
        <v>73897</v>
      </c>
      <c r="D479" s="68">
        <v>0</v>
      </c>
      <c r="E479" s="68">
        <v>0.1</v>
      </c>
      <c r="F479" s="68">
        <v>0</v>
      </c>
      <c r="G479" s="10">
        <f t="shared" si="88"/>
        <v>73897.100000000006</v>
      </c>
      <c r="H479" s="10">
        <v>0</v>
      </c>
      <c r="I479" s="10">
        <v>0</v>
      </c>
      <c r="J479" s="10">
        <f t="shared" si="67"/>
        <v>73897.100000000006</v>
      </c>
      <c r="K479" s="10">
        <v>0</v>
      </c>
      <c r="L479" s="10">
        <v>0</v>
      </c>
      <c r="M479" s="10">
        <f t="shared" si="85"/>
        <v>73897.100000000006</v>
      </c>
      <c r="N479" s="10">
        <v>0</v>
      </c>
      <c r="O479" s="10">
        <v>0</v>
      </c>
      <c r="P479" s="10">
        <v>0</v>
      </c>
      <c r="Q479" s="101">
        <f t="shared" si="72"/>
        <v>73897.100000000006</v>
      </c>
    </row>
    <row r="480" spans="1:18" ht="27.85" customHeight="1" thickBot="1" x14ac:dyDescent="0.3">
      <c r="A480" s="14" t="s">
        <v>216</v>
      </c>
      <c r="B480" s="44"/>
      <c r="C480" s="55">
        <f>SUM(C473:C479)</f>
        <v>92148</v>
      </c>
      <c r="D480" s="61">
        <f t="shared" ref="D480:I480" si="89">SUM(D473:D479)</f>
        <v>0</v>
      </c>
      <c r="E480" s="61">
        <f t="shared" si="89"/>
        <v>1014.89</v>
      </c>
      <c r="F480" s="61">
        <f t="shared" si="89"/>
        <v>0</v>
      </c>
      <c r="G480" s="55">
        <f t="shared" si="89"/>
        <v>93162.890000000014</v>
      </c>
      <c r="H480" s="55">
        <f t="shared" si="89"/>
        <v>0</v>
      </c>
      <c r="I480" s="55">
        <f t="shared" si="89"/>
        <v>0</v>
      </c>
      <c r="J480" s="55">
        <f t="shared" ref="J480:M480" si="90">SUM(J473:J479)</f>
        <v>93162.890000000014</v>
      </c>
      <c r="K480" s="55">
        <f t="shared" si="90"/>
        <v>0</v>
      </c>
      <c r="L480" s="55">
        <f t="shared" si="90"/>
        <v>0</v>
      </c>
      <c r="M480" s="55">
        <f t="shared" si="90"/>
        <v>93162.890000000014</v>
      </c>
      <c r="N480" s="55">
        <f>SUM(N473:N479)</f>
        <v>0</v>
      </c>
      <c r="O480" s="55">
        <f>SUM(O473:O479)</f>
        <v>450943.29</v>
      </c>
      <c r="P480" s="55">
        <f>SUM(P473:P479)</f>
        <v>0</v>
      </c>
      <c r="Q480" s="103">
        <f t="shared" si="72"/>
        <v>544106.17999999993</v>
      </c>
      <c r="R480" s="87"/>
    </row>
    <row r="481" spans="1:18" ht="18.7" customHeight="1" thickBot="1" x14ac:dyDescent="0.3">
      <c r="A481" s="18" t="s">
        <v>217</v>
      </c>
      <c r="B481" s="45"/>
      <c r="C481" s="56">
        <f>C470+C480</f>
        <v>2445048.15</v>
      </c>
      <c r="D481" s="62">
        <f>SUM(D470+D480)</f>
        <v>9621.1500000000015</v>
      </c>
      <c r="E481" s="62">
        <f>E470+E480</f>
        <v>236735.84</v>
      </c>
      <c r="F481" s="62">
        <f>SUM(F470+F480)</f>
        <v>18788.77</v>
      </c>
      <c r="G481" s="56">
        <f>SUM(G470+G480)</f>
        <v>2710393.86</v>
      </c>
      <c r="H481" s="56">
        <f>H470+H480</f>
        <v>36540.35</v>
      </c>
      <c r="I481" s="56">
        <f t="shared" ref="I481:N481" si="91">SUM(I470+I480)</f>
        <v>3013.630000000001</v>
      </c>
      <c r="J481" s="56">
        <f t="shared" si="91"/>
        <v>2754573.3600000003</v>
      </c>
      <c r="K481" s="56">
        <f t="shared" si="91"/>
        <v>19637.73</v>
      </c>
      <c r="L481" s="56">
        <f t="shared" si="91"/>
        <v>6821.3600000000006</v>
      </c>
      <c r="M481" s="56">
        <f t="shared" si="91"/>
        <v>2781032.4499999997</v>
      </c>
      <c r="N481" s="56">
        <f t="shared" si="91"/>
        <v>7056.4199999999983</v>
      </c>
      <c r="O481" s="56">
        <f>SUM(O470+O480)</f>
        <v>13333.379999999946</v>
      </c>
      <c r="P481" s="56">
        <f>SUM(P470+P480)</f>
        <v>157.75999999999982</v>
      </c>
      <c r="Q481" s="106">
        <f t="shared" si="72"/>
        <v>2801580.0099999993</v>
      </c>
      <c r="R481" s="87"/>
    </row>
    <row r="482" spans="1:18" ht="12.75" customHeight="1" thickBot="1" x14ac:dyDescent="0.3">
      <c r="A482" s="80"/>
      <c r="B482" s="79"/>
      <c r="C482" s="13"/>
      <c r="D482" s="81"/>
      <c r="E482" s="81"/>
      <c r="F482" s="81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01"/>
    </row>
    <row r="483" spans="1:18" ht="29.25" customHeight="1" thickBot="1" x14ac:dyDescent="0.3">
      <c r="A483" s="14" t="s">
        <v>218</v>
      </c>
      <c r="B483" s="43"/>
      <c r="C483" s="15"/>
      <c r="D483" s="60"/>
      <c r="E483" s="60"/>
      <c r="F483" s="60"/>
      <c r="G483" s="15"/>
      <c r="H483" s="15"/>
      <c r="I483" s="15"/>
      <c r="J483" s="15"/>
      <c r="K483" s="15"/>
      <c r="L483" s="15"/>
      <c r="M483" s="15"/>
      <c r="N483" s="15"/>
      <c r="O483" s="15"/>
      <c r="P483" s="15"/>
      <c r="Q483" s="102"/>
    </row>
    <row r="484" spans="1:18" ht="14.95" customHeight="1" x14ac:dyDescent="0.25">
      <c r="A484" s="150" t="s">
        <v>219</v>
      </c>
      <c r="B484" s="151"/>
      <c r="C484" s="152">
        <v>0</v>
      </c>
      <c r="D484" s="153">
        <v>0</v>
      </c>
      <c r="E484" s="153">
        <v>0</v>
      </c>
      <c r="F484" s="153">
        <v>0</v>
      </c>
      <c r="G484" s="152">
        <f>SUM(C484:F484)</f>
        <v>0</v>
      </c>
      <c r="H484" s="152">
        <v>0</v>
      </c>
      <c r="I484" s="152">
        <v>0</v>
      </c>
      <c r="J484" s="152">
        <f t="shared" si="67"/>
        <v>0</v>
      </c>
      <c r="K484" s="152">
        <v>0</v>
      </c>
      <c r="L484" s="152">
        <v>0</v>
      </c>
      <c r="M484" s="152">
        <v>0</v>
      </c>
      <c r="N484" s="152">
        <v>0</v>
      </c>
      <c r="O484" s="152">
        <v>0</v>
      </c>
      <c r="P484" s="152">
        <v>0</v>
      </c>
      <c r="Q484" s="154">
        <f t="shared" si="72"/>
        <v>0</v>
      </c>
    </row>
    <row r="485" spans="1:18" ht="29.25" thickBot="1" x14ac:dyDescent="0.3">
      <c r="A485" s="145" t="s">
        <v>220</v>
      </c>
      <c r="B485" s="146"/>
      <c r="C485" s="147">
        <f>SUM(C484)</f>
        <v>0</v>
      </c>
      <c r="D485" s="148">
        <v>0</v>
      </c>
      <c r="E485" s="148">
        <f>SUM(E484)</f>
        <v>0</v>
      </c>
      <c r="F485" s="148">
        <v>0</v>
      </c>
      <c r="G485" s="147">
        <f t="shared" si="88"/>
        <v>0</v>
      </c>
      <c r="H485" s="147">
        <f>SUM(H484)</f>
        <v>0</v>
      </c>
      <c r="I485" s="147">
        <v>0</v>
      </c>
      <c r="J485" s="147">
        <f t="shared" si="67"/>
        <v>0</v>
      </c>
      <c r="K485" s="147">
        <v>0</v>
      </c>
      <c r="L485" s="147">
        <v>0</v>
      </c>
      <c r="M485" s="147">
        <f>SUM(M484)</f>
        <v>0</v>
      </c>
      <c r="N485" s="147">
        <f>SUM(N484)</f>
        <v>0</v>
      </c>
      <c r="O485" s="147">
        <f>SUM(O484)</f>
        <v>0</v>
      </c>
      <c r="P485" s="147">
        <f>SUM(P484)</f>
        <v>0</v>
      </c>
      <c r="Q485" s="149">
        <f t="shared" si="72"/>
        <v>0</v>
      </c>
      <c r="R485" s="87"/>
    </row>
    <row r="486" spans="1:18" ht="9" customHeight="1" x14ac:dyDescent="0.25"/>
    <row r="487" spans="1:18" ht="11.25" customHeight="1" x14ac:dyDescent="0.25">
      <c r="A487" s="46"/>
      <c r="B487" s="93"/>
    </row>
    <row r="488" spans="1:18" hidden="1" x14ac:dyDescent="0.25">
      <c r="A488" s="46"/>
      <c r="B488" s="93"/>
    </row>
  </sheetData>
  <sheetProtection algorithmName="SHA-512" hashValue="BbeielRcFsa9JApZ5LWaMSEBATAYkdAMlpEFtjsMtSPyAWoJczRyKQbMkhU9HIIWSObu4qpokD4iqrvdCgqKmA==" saltValue="z6T7bSbp2EGx+cNDD16CCw==" spinCount="100000" sheet="1" objects="1" scenarios="1"/>
  <pageMargins left="0.6692913385826772" right="0.6692913385826772" top="0.9055118110236221" bottom="0.78740157480314965" header="0.31496062992125984" footer="0.31496062992125984"/>
  <pageSetup paperSize="9" orientation="landscape" r:id="rId1"/>
  <headerFooter>
    <oddHeader xml:space="preserve">&amp;L&amp;"-,Tučné"Statutární město
Frýdek-Místek&amp;C&amp;"-,Tučné" Závazné ukazatele rozpočtu pro rok 2025 po 4. změně a po RO RM č. 1 - 185 
&amp;"-,Obyčejné"Zpracovala: Ilona Oborná, FO
&amp;RStrana &amp;P
celkem 25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ZU 2025 po 4.ZR a RORM 1-185</vt:lpstr>
      <vt:lpstr>'ZU 2025 po 4.ZR a RORM 1-185'!Názvy_tisku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OBORNÁ</dc:creator>
  <cp:lastModifiedBy>Ilona Oborná</cp:lastModifiedBy>
  <cp:lastPrinted>2026-01-12T13:37:52Z</cp:lastPrinted>
  <dcterms:created xsi:type="dcterms:W3CDTF">2024-01-31T13:47:41Z</dcterms:created>
  <dcterms:modified xsi:type="dcterms:W3CDTF">2026-01-14T11:39:16Z</dcterms:modified>
</cp:coreProperties>
</file>